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U:\PILOTs &amp; Incentives\23012202A NY USLE Copenhagen CR194 LLC\"/>
    </mc:Choice>
  </mc:AlternateContent>
  <xr:revisionPtr revIDLastSave="0" documentId="13_ncr:1_{A8B83714-E536-4A62-AC5A-5EF21E5A08D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ost Benefit" sheetId="3" r:id="rId1"/>
    <sheet name="Soil Calc" sheetId="4" r:id="rId2"/>
    <sheet name="UPEP Criteria" sheetId="5" r:id="rId3"/>
  </sheets>
  <definedNames>
    <definedName name="_xlnm.Print_Area" localSheetId="0">'Cost Benefit'!$A$1:$L$78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39" i="3" l="1"/>
  <c r="K26" i="3"/>
  <c r="J42" i="3"/>
  <c r="J40" i="3"/>
  <c r="J36" i="3"/>
  <c r="J46" i="3" l="1"/>
  <c r="K48" i="3" l="1"/>
  <c r="J29" i="3"/>
  <c r="J18" i="3" s="1"/>
  <c r="E9" i="3"/>
  <c r="J27" i="3" s="1"/>
  <c r="E13" i="3"/>
  <c r="B11" i="4" l="1"/>
  <c r="D10" i="4"/>
  <c r="D9" i="4"/>
  <c r="J38" i="3"/>
  <c r="J37" i="3"/>
  <c r="D6" i="4"/>
  <c r="D5" i="4"/>
  <c r="J33" i="3"/>
  <c r="K30" i="3" l="1"/>
  <c r="K43" i="3"/>
  <c r="K34" i="3"/>
  <c r="D11" i="4"/>
  <c r="D7" i="4"/>
  <c r="D13" i="4" l="1"/>
  <c r="B15" i="4" s="1"/>
  <c r="E6" i="3" s="1"/>
  <c r="J28" i="3" l="1"/>
  <c r="J19" i="3"/>
  <c r="K17" i="3" s="1"/>
  <c r="K22" i="3" s="1"/>
  <c r="H59" i="3" s="1"/>
  <c r="K49" i="3" l="1"/>
  <c r="H70" i="3" s="1"/>
  <c r="K51" i="3" l="1"/>
</calcChain>
</file>

<file path=xl/sharedStrings.xml><?xml version="1.0" encoding="utf-8"?>
<sst xmlns="http://schemas.openxmlformats.org/spreadsheetml/2006/main" count="321" uniqueCount="172">
  <si>
    <t>Lewis County Industrial Development Agency</t>
  </si>
  <si>
    <t>Project Cost-Benefit Analysis</t>
  </si>
  <si>
    <t>Cost to Community</t>
  </si>
  <si>
    <t>Benefits to the Community</t>
  </si>
  <si>
    <t># of jobs created</t>
  </si>
  <si>
    <t>Expected annual salary</t>
  </si>
  <si>
    <t>Lease duration in years</t>
  </si>
  <si>
    <t>Benefit period in Years:</t>
  </si>
  <si>
    <t>Fee payment to LCIDA</t>
  </si>
  <si>
    <t>Property taxes received with PILOT</t>
  </si>
  <si>
    <t>Project duration in years</t>
  </si>
  <si>
    <t>Estimated benefits provided/Tax Revenue Not Received by the Community</t>
  </si>
  <si>
    <t>Mortgage Tax Forgiven</t>
  </si>
  <si>
    <t>Sales Taxes Forgiven</t>
  </si>
  <si>
    <t>Estimated Property Taxes forgiven</t>
  </si>
  <si>
    <t>Estimated Community Benefit Received</t>
  </si>
  <si>
    <t>Property taxes received that would not have been generated without project</t>
  </si>
  <si>
    <t>Salaries Generated From Temporary/Construction Jobs</t>
  </si>
  <si>
    <t>Benefit minus Cost Differential</t>
  </si>
  <si>
    <t># of jobs created (FTE)</t>
  </si>
  <si>
    <t>Notes</t>
  </si>
  <si>
    <t>Full Property Taxes for proposed project (over benefit period)</t>
  </si>
  <si>
    <t>Property taxes received without the project</t>
  </si>
  <si>
    <t>Based on $1.2M/MW assessment</t>
  </si>
  <si>
    <t>Based on 1% project value</t>
  </si>
  <si>
    <t>Lease Payments to property owners</t>
  </si>
  <si>
    <t>Multiplier to PILOT and taxes over project period</t>
  </si>
  <si>
    <t>Multiplier to project salary over project period</t>
  </si>
  <si>
    <t>PILOT $/mW + Town, LCDC HCAs</t>
  </si>
  <si>
    <t>Taxes paid as result of PILOT, does not account for loss of Ag Exemption</t>
  </si>
  <si>
    <t>Salaries resulting from new permanent employment (over benefit period)</t>
  </si>
  <si>
    <t>Lodging &amp; Dining</t>
  </si>
  <si>
    <t>DRAFT</t>
  </si>
  <si>
    <t>Escalator</t>
  </si>
  <si>
    <t>Total MW AC</t>
  </si>
  <si>
    <t>Payment in lieu of Taxes for proposed project (over benefit Period)</t>
  </si>
  <si>
    <t>Taxes that would have been paid if project did not occur, approximate for that portion of the lot</t>
  </si>
  <si>
    <t>Base PILOT:</t>
  </si>
  <si>
    <t>Actively Farmed:</t>
  </si>
  <si>
    <t>Not Actively Farmed</t>
  </si>
  <si>
    <t>This Array</t>
  </si>
  <si>
    <t>UTEP Discount</t>
  </si>
  <si>
    <t>This Array Discount</t>
  </si>
  <si>
    <t>PILOT with discount applied:</t>
  </si>
  <si>
    <t>Annual lease</t>
  </si>
  <si>
    <t>Based on 2% escalator</t>
  </si>
  <si>
    <t>Based on $50/day, 4 days per week for 50% of workers</t>
  </si>
  <si>
    <t>Prime or Prime if Drained</t>
  </si>
  <si>
    <t>Land of Statewide Importance or not categorized</t>
  </si>
  <si>
    <t>Total Discount (cannot exceed 40%)</t>
  </si>
  <si>
    <t>Project Name: NY USLE Copenhagen CR194, LLC</t>
  </si>
  <si>
    <t>Current County/Town Tax Rate ($/1000)</t>
  </si>
  <si>
    <t>Current School Tax Rate ($/1000)</t>
  </si>
  <si>
    <t>Current Village Tax Rate ($/1000)</t>
  </si>
  <si>
    <t>Total Project Cost</t>
  </si>
  <si>
    <t>Project Cost (Sales Tax Applicable)</t>
  </si>
  <si>
    <t>Pinckney</t>
  </si>
  <si>
    <t>Copenhagen</t>
  </si>
  <si>
    <t>n/a</t>
  </si>
  <si>
    <t>Project Type:</t>
  </si>
  <si>
    <t>Manufacturing, Warehouse, Distribution</t>
  </si>
  <si>
    <t>Agricultural, Food Processing</t>
  </si>
  <si>
    <t>Adaptive Reuse, Community Development</t>
  </si>
  <si>
    <t>Tourism</t>
  </si>
  <si>
    <t>Retail</t>
  </si>
  <si>
    <t>Back Office, Data, Call Centers</t>
  </si>
  <si>
    <t>Energy Production</t>
  </si>
  <si>
    <t>Market Rate Senior Housing</t>
  </si>
  <si>
    <t>Commercial Housing</t>
  </si>
  <si>
    <t>NYS Required Evaluation Criteria</t>
  </si>
  <si>
    <t>1. Extent to which the project will create or retain permanent jobs</t>
  </si>
  <si>
    <t>2. Estimated value of tax exemptions</t>
  </si>
  <si>
    <t>3. Amount of private sector investment</t>
  </si>
  <si>
    <t>4. Likelihood of project being accomplished in a timely fashion</t>
  </si>
  <si>
    <t>5. Extent of new revenue provided to local taxing jurisdictions</t>
  </si>
  <si>
    <t>6. Any other misc public benefits</t>
  </si>
  <si>
    <t>Material Terms</t>
  </si>
  <si>
    <t>1. Create or Retain Jobs</t>
  </si>
  <si>
    <t>1. Private Sector Investment</t>
  </si>
  <si>
    <t>2. Private Sector Investment</t>
  </si>
  <si>
    <t>2. Create or Retain Jobs</t>
  </si>
  <si>
    <t>3. Local Labor Construction</t>
  </si>
  <si>
    <t>4. Wage Rates above Median Wage for Area</t>
  </si>
  <si>
    <t>4. Increased Property Value</t>
  </si>
  <si>
    <t>4. Regional Wealth Creation (%Sales/Customers Outside Area)</t>
  </si>
  <si>
    <t>4. Senior Residents at or Below Median Income for Community</t>
  </si>
  <si>
    <t>4. Community Benefit</t>
  </si>
  <si>
    <t>5. Community Benefit</t>
  </si>
  <si>
    <t>5. Increased Revenue to Local Taxing Jurisdictions</t>
  </si>
  <si>
    <t>6. Community Benefit</t>
  </si>
  <si>
    <t>Evaluative Criteria</t>
  </si>
  <si>
    <t>1. Wage Rates (above Median Wage for Area)</t>
  </si>
  <si>
    <r>
      <t>1.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>Distressed Census Tracts</t>
    </r>
  </si>
  <si>
    <t>1. Market Study (Document Demand and Impact on Existing Operators)</t>
  </si>
  <si>
    <t>1. Market Study/Goods or Services Not Readily Available, Impact on Existing Businesses (Municipal CEO approval)</t>
  </si>
  <si>
    <r>
      <t>1.</t>
    </r>
    <r>
      <rPr>
        <sz val="7"/>
        <color theme="1"/>
        <rFont val="Times New Roman"/>
        <family val="1"/>
      </rPr>
      <t xml:space="preserve"> </t>
    </r>
    <r>
      <rPr>
        <sz val="11"/>
        <color theme="1"/>
        <rFont val="Calibri"/>
        <family val="2"/>
        <scheme val="minor"/>
      </rPr>
      <t>Market Study (Document Need and Impact on Existing Facilities)</t>
    </r>
  </si>
  <si>
    <r>
      <t>1.</t>
    </r>
    <r>
      <rPr>
        <sz val="7"/>
        <color theme="1"/>
        <rFont val="Times New Roman"/>
        <family val="1"/>
      </rPr>
      <t xml:space="preserve"> </t>
    </r>
    <r>
      <rPr>
        <sz val="11"/>
        <color theme="1"/>
        <rFont val="Calibri"/>
        <family val="2"/>
        <scheme val="minor"/>
      </rPr>
      <t>Market Study (Document Unmet Need and Impact on Existing Facilities)</t>
    </r>
  </si>
  <si>
    <t>2. Regional Wealth Creation (%Sales/Customers Outside Area)</t>
  </si>
  <si>
    <r>
      <t>2.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>Age of Structure</t>
    </r>
  </si>
  <si>
    <r>
      <t xml:space="preserve">2. </t>
    </r>
    <r>
      <rPr>
        <sz val="11"/>
        <color theme="1"/>
        <rFont val="Calibri"/>
        <family val="2"/>
      </rPr>
      <t xml:space="preserve">Regional Wealth Creation </t>
    </r>
  </si>
  <si>
    <r>
      <t>2.</t>
    </r>
    <r>
      <rPr>
        <sz val="7"/>
        <color theme="1"/>
        <rFont val="Times New Roman"/>
        <family val="1"/>
      </rPr>
      <t xml:space="preserve"> </t>
    </r>
    <r>
      <rPr>
        <sz val="11"/>
        <color theme="1"/>
        <rFont val="Calibri"/>
        <family val="2"/>
        <scheme val="minor"/>
      </rPr>
      <t>Regional Wealth Creation</t>
    </r>
  </si>
  <si>
    <t>2. In Region Purchases (% of Overall Purchases, Local Construction Jobs/Suppliers)</t>
  </si>
  <si>
    <r>
      <t>2.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Highly Distressed Census Tract</t>
    </r>
  </si>
  <si>
    <r>
      <t>2.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Highly Distressed Census Tracts</t>
    </r>
  </si>
  <si>
    <t>3. In Region Purchases (% of overall Purchases)</t>
  </si>
  <si>
    <r>
      <t>3.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>Elimination of Slum and Blight</t>
    </r>
  </si>
  <si>
    <r>
      <t xml:space="preserve">3. </t>
    </r>
    <r>
      <rPr>
        <sz val="11"/>
        <color theme="1"/>
        <rFont val="Calibri"/>
        <family val="2"/>
      </rPr>
      <t>Proximity/Support of Regional Tourism Attractions/Facilities</t>
    </r>
  </si>
  <si>
    <r>
      <t>3.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Highly Distressed Census Tracts</t>
    </r>
  </si>
  <si>
    <t>3. Advances Renewable Energy Production/Transmission Goals</t>
  </si>
  <si>
    <r>
      <t>3.</t>
    </r>
    <r>
      <rPr>
        <sz val="7"/>
        <color theme="1"/>
        <rFont val="Times New Roman"/>
        <family val="1"/>
      </rPr>
      <t xml:space="preserve"> </t>
    </r>
    <r>
      <rPr>
        <sz val="11"/>
        <color theme="1"/>
        <rFont val="Calibri"/>
        <family val="2"/>
        <scheme val="minor"/>
      </rPr>
      <t>Alignment with Local Planning and Development Efforts</t>
    </r>
  </si>
  <si>
    <r>
      <t>3.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Alignment with Local Planning and Development Efforts</t>
    </r>
  </si>
  <si>
    <t>4. Research and Development Activities</t>
  </si>
  <si>
    <r>
      <t>4.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>Building or Facility Vacancy</t>
    </r>
  </si>
  <si>
    <r>
      <t xml:space="preserve">4. </t>
    </r>
    <r>
      <rPr>
        <sz val="11"/>
        <color theme="1"/>
        <rFont val="Calibri"/>
        <family val="2"/>
      </rPr>
      <t>Local Official(s), Convention Visitors Bureau Support</t>
    </r>
  </si>
  <si>
    <r>
      <t>4.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Urban or Town Center Location</t>
    </r>
  </si>
  <si>
    <t>4. Supports Local Business or Cluster</t>
  </si>
  <si>
    <t>4. Provides Capacity or Transmission to Meet Local Demand or Shortage</t>
  </si>
  <si>
    <r>
      <t>4.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Urban, Town/Village Center Location</t>
    </r>
  </si>
  <si>
    <r>
      <t>4.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Urban or Town/Village Center Location</t>
    </r>
  </si>
  <si>
    <t>5. Investments in Energy Efficiency</t>
  </si>
  <si>
    <r>
      <t>5.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>Redevelopment Supports Local Community Development Plan</t>
    </r>
  </si>
  <si>
    <r>
      <t xml:space="preserve">5. </t>
    </r>
    <r>
      <rPr>
        <sz val="11"/>
        <color theme="1"/>
        <rFont val="Calibri"/>
        <family val="2"/>
      </rPr>
      <t>In Region Purchases, Support of Local Vendors</t>
    </r>
  </si>
  <si>
    <r>
      <t>5.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Elimination of Slum and Blight</t>
    </r>
  </si>
  <si>
    <t>5. Retention/Flight Risk</t>
  </si>
  <si>
    <r>
      <t>5.</t>
    </r>
    <r>
      <rPr>
        <sz val="7"/>
        <color theme="1"/>
        <rFont val="Times New Roman"/>
        <family val="1"/>
      </rPr>
      <t xml:space="preserve"> </t>
    </r>
    <r>
      <rPr>
        <sz val="11"/>
        <color theme="1"/>
        <rFont val="Calibri"/>
        <family val="2"/>
        <scheme val="minor"/>
      </rPr>
      <t>Community Benefit</t>
    </r>
  </si>
  <si>
    <r>
      <t>5.</t>
    </r>
    <r>
      <rPr>
        <sz val="7"/>
        <color theme="1"/>
        <rFont val="Times New Roman"/>
        <family val="1"/>
      </rPr>
      <t xml:space="preserve"> </t>
    </r>
    <r>
      <rPr>
        <sz val="11"/>
        <color theme="1"/>
        <rFont val="Calibri"/>
        <family val="2"/>
        <scheme val="minor"/>
      </rPr>
      <t>Local Official(s) Support</t>
    </r>
  </si>
  <si>
    <r>
      <t>5.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Local Official(s) Support</t>
    </r>
  </si>
  <si>
    <t>6. Locational Land Use Factors, Brownfields or Locally Designated Development Areas</t>
  </si>
  <si>
    <r>
      <t>6.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 xml:space="preserve">Environmental or Safety Issues </t>
    </r>
  </si>
  <si>
    <r>
      <t xml:space="preserve">6. </t>
    </r>
    <r>
      <rPr>
        <sz val="11"/>
        <color theme="1"/>
        <rFont val="Calibri"/>
        <family val="2"/>
      </rPr>
      <t>LEED/Renewable Resources</t>
    </r>
  </si>
  <si>
    <r>
      <t>6.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Alignment with Local Planning and Development Efforts</t>
    </r>
  </si>
  <si>
    <t>6. LEED/Renewable Resources</t>
  </si>
  <si>
    <t xml:space="preserve">6. Location of Project (prime vs. Marginal land) </t>
  </si>
  <si>
    <r>
      <t>6.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Located in Areas that Serve Below Median Income Seniors</t>
    </r>
  </si>
  <si>
    <r>
      <t>6.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Located in Areas that have Inadequate Housing Supply</t>
    </r>
  </si>
  <si>
    <t>7. LEED/Renewable Resources</t>
  </si>
  <si>
    <r>
      <t>7.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>LEED/Renewable Resources</t>
    </r>
  </si>
  <si>
    <t>7. Generation of Local Revenues (i.e. Hotel Bed Taxes)</t>
  </si>
  <si>
    <r>
      <t>7.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Facility Promotes Walkable Community Areas</t>
    </r>
  </si>
  <si>
    <r>
      <t>7.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Facility Promotes Transit Oriented or Walkable Community Areas</t>
    </r>
  </si>
  <si>
    <t>8. Retention/Flight Risk</t>
  </si>
  <si>
    <r>
      <t>8.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>Building or site has Historic designation</t>
    </r>
  </si>
  <si>
    <r>
      <t>8.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Review of Project/Developer’s Return on Investment</t>
    </r>
  </si>
  <si>
    <r>
      <t>9.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>Site or Structure has delinquent Property or other local Taxes</t>
    </r>
  </si>
  <si>
    <r>
      <t>9.</t>
    </r>
    <r>
      <rPr>
        <sz val="7"/>
        <color theme="1"/>
        <rFont val="Times New Roman"/>
        <family val="1"/>
      </rPr>
      <t xml:space="preserve"> </t>
    </r>
    <r>
      <rPr>
        <sz val="11"/>
        <color theme="1"/>
        <rFont val="Calibri"/>
        <family val="2"/>
        <scheme val="minor"/>
      </rPr>
      <t>Ability to Conventionally Finance</t>
    </r>
  </si>
  <si>
    <r>
      <t>9.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Impediments to Ability to Conventionally Finance Project</t>
    </r>
  </si>
  <si>
    <r>
      <t>10.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</rPr>
      <t>Project/Developer’s Return on Investment</t>
    </r>
  </si>
  <si>
    <t>10. Provides Specific Senior Amenities (Community Rooms, Health Services etc.)</t>
  </si>
  <si>
    <r>
      <t>11.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</rPr>
      <t>Impediments to Conventionally Finance Project</t>
    </r>
  </si>
  <si>
    <r>
      <t>11.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Senior Residents at or Below Median Income for Community</t>
    </r>
  </si>
  <si>
    <t>UPEP Criteria</t>
  </si>
  <si>
    <t>Response</t>
  </si>
  <si>
    <t>yes</t>
  </si>
  <si>
    <t>captured above</t>
  </si>
  <si>
    <t>of project costs</t>
  </si>
  <si>
    <t>no</t>
  </si>
  <si>
    <t>low</t>
  </si>
  <si>
    <t>no permanent job creation</t>
  </si>
  <si>
    <t>maybe</t>
  </si>
  <si>
    <t>few</t>
  </si>
  <si>
    <t>little</t>
  </si>
  <si>
    <t>LCIDA Evaluative Criteria</t>
  </si>
  <si>
    <t>poor</t>
  </si>
  <si>
    <t>72% prime farmland</t>
  </si>
  <si>
    <t>Energy Savings to residents</t>
  </si>
  <si>
    <t>Households enrolled</t>
  </si>
  <si>
    <t>conservative estimate</t>
  </si>
  <si>
    <t>Community Solar credit</t>
  </si>
  <si>
    <t>Average annual household electric bill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</si>
  <si>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</si>
  <si>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Based on $25/hr</t>
  </si>
  <si>
    <t>$5000/MW, escalating at 1%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</si>
</sst>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0.0%"/>
    <numFmt numFmtId="166" formatCode="0.000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7"/>
      <color theme="1"/>
      <name val="Times New Roman"/>
      <family val="1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</cellStyleXfs>
  <cellXfs count="51">
    <xf numFmtId="0" fontId="0" fillId="0" borderId="0" xfId="0"/>
    <xf numFmtId="0" fontId="1" fillId="0" borderId="0" xfId="0" applyFont="1" applyAlignment="1">
      <alignment horizontal="left" indent="4"/>
    </xf>
    <xf numFmtId="0" fontId="2" fillId="0" borderId="0" xfId="0" applyFont="1" applyAlignment="1">
      <alignment horizontal="left" indent="4"/>
    </xf>
    <xf numFmtId="0" fontId="1" fillId="0" borderId="0" xfId="0" applyFont="1"/>
    <xf numFmtId="0" fontId="5" fillId="0" borderId="0" xfId="0" applyFont="1"/>
    <xf numFmtId="164" fontId="0" fillId="0" borderId="0" xfId="0" applyNumberFormat="1"/>
    <xf numFmtId="0" fontId="0" fillId="0" borderId="1" xfId="0" applyBorder="1"/>
    <xf numFmtId="0" fontId="1" fillId="0" borderId="1" xfId="0" applyFont="1" applyBorder="1" applyAlignment="1">
      <alignment horizontal="left" indent="4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1" fillId="0" borderId="0" xfId="0" applyFont="1" applyAlignment="1">
      <alignment horizontal="left"/>
    </xf>
    <xf numFmtId="164" fontId="0" fillId="0" borderId="0" xfId="0" applyNumberFormat="1" applyFill="1"/>
    <xf numFmtId="0" fontId="0" fillId="0" borderId="0" xfId="0" applyFill="1"/>
    <xf numFmtId="0" fontId="2" fillId="0" borderId="0" xfId="0" applyFont="1" applyFill="1" applyAlignment="1">
      <alignment horizontal="left" indent="4"/>
    </xf>
    <xf numFmtId="43" fontId="0" fillId="0" borderId="0" xfId="1" applyFont="1" applyFill="1"/>
    <xf numFmtId="2" fontId="0" fillId="0" borderId="0" xfId="0" applyNumberFormat="1" applyFill="1"/>
    <xf numFmtId="0" fontId="0" fillId="0" borderId="0" xfId="0" applyFill="1" applyAlignment="1">
      <alignment horizontal="right"/>
    </xf>
    <xf numFmtId="0" fontId="0" fillId="0" borderId="1" xfId="0" applyFill="1" applyBorder="1"/>
    <xf numFmtId="164" fontId="0" fillId="0" borderId="1" xfId="0" applyNumberFormat="1" applyFill="1" applyBorder="1"/>
    <xf numFmtId="0" fontId="8" fillId="0" borderId="0" xfId="0" applyFont="1" applyFill="1"/>
    <xf numFmtId="0" fontId="6" fillId="0" borderId="0" xfId="0" applyFont="1" applyAlignment="1"/>
    <xf numFmtId="0" fontId="4" fillId="0" borderId="0" xfId="0" applyFont="1" applyAlignment="1"/>
    <xf numFmtId="0" fontId="3" fillId="0" borderId="0" xfId="0" applyFont="1" applyAlignment="1"/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165" fontId="0" fillId="0" borderId="0" xfId="2" applyNumberFormat="1" applyFont="1"/>
    <xf numFmtId="9" fontId="0" fillId="0" borderId="0" xfId="2" applyFont="1" applyAlignment="1">
      <alignment horizontal="center"/>
    </xf>
    <xf numFmtId="165" fontId="0" fillId="0" borderId="0" xfId="2" applyNumberFormat="1" applyFont="1" applyAlignment="1">
      <alignment horizontal="center"/>
    </xf>
    <xf numFmtId="165" fontId="0" fillId="0" borderId="2" xfId="2" applyNumberFormat="1" applyFont="1" applyBorder="1" applyAlignment="1">
      <alignment horizontal="center"/>
    </xf>
    <xf numFmtId="9" fontId="0" fillId="0" borderId="0" xfId="2" applyNumberFormat="1" applyFont="1" applyAlignment="1">
      <alignment horizontal="center"/>
    </xf>
    <xf numFmtId="165" fontId="0" fillId="0" borderId="0" xfId="0" applyNumberFormat="1" applyAlignment="1">
      <alignment horizontal="center"/>
    </xf>
    <xf numFmtId="165" fontId="0" fillId="0" borderId="2" xfId="0" applyNumberFormat="1" applyBorder="1" applyAlignment="1">
      <alignment horizontal="center"/>
    </xf>
    <xf numFmtId="0" fontId="9" fillId="0" borderId="0" xfId="0" applyFont="1" applyAlignment="1">
      <alignment horizontal="center" wrapText="1"/>
    </xf>
    <xf numFmtId="5" fontId="0" fillId="0" borderId="0" xfId="3" applyNumberFormat="1" applyFont="1" applyAlignment="1">
      <alignment horizontal="center"/>
    </xf>
    <xf numFmtId="0" fontId="0" fillId="2" borderId="0" xfId="0" applyFill="1"/>
    <xf numFmtId="5" fontId="0" fillId="2" borderId="0" xfId="3" applyNumberFormat="1" applyFont="1" applyFill="1" applyAlignment="1">
      <alignment horizontal="center"/>
    </xf>
    <xf numFmtId="166" fontId="0" fillId="0" borderId="0" xfId="0" applyNumberFormat="1" applyFill="1"/>
    <xf numFmtId="164" fontId="0" fillId="2" borderId="0" xfId="0" applyNumberFormat="1" applyFill="1"/>
    <xf numFmtId="0" fontId="3" fillId="0" borderId="0" xfId="0" applyFont="1"/>
    <xf numFmtId="0" fontId="3" fillId="0" borderId="0" xfId="0" applyFont="1" applyAlignment="1">
      <alignment wrapText="1"/>
    </xf>
    <xf numFmtId="0" fontId="2" fillId="0" borderId="0" xfId="0" applyFont="1"/>
    <xf numFmtId="0" fontId="2" fillId="0" borderId="0" xfId="0" applyFont="1" applyAlignment="1">
      <alignment wrapText="1"/>
    </xf>
    <xf numFmtId="0" fontId="5" fillId="0" borderId="0" xfId="0" applyFont="1" applyFill="1"/>
    <xf numFmtId="9" fontId="0" fillId="0" borderId="0" xfId="2" applyFont="1" applyFill="1"/>
    <xf numFmtId="0" fontId="0" fillId="2" borderId="0" xfId="0" applyFill="1" applyAlignment="1">
      <alignment horizontal="right"/>
    </xf>
    <xf numFmtId="9" fontId="0" fillId="2" borderId="0" xfId="2" applyFont="1" applyFill="1"/>
    <xf numFmtId="164" fontId="0" fillId="2" borderId="0" xfId="0" applyNumberFormat="1" applyFill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 wrapText="1"/>
    </xf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83"/>
  <sheetViews>
    <sheetView tabSelected="1" workbookViewId="0">
      <selection activeCell="H12" sqref="H12"/>
    </sheetView>
  </sheetViews>
  <sheetFormatPr defaultRowHeight="15" x14ac:dyDescent="0.25"/>
  <cols>
    <col min="1" max="1" width="9.7109375" bestFit="1" customWidth="1"/>
    <col min="4" max="4" width="10.85546875" bestFit="1" customWidth="1"/>
    <col min="5" max="5" width="10.140625" bestFit="1" customWidth="1"/>
    <col min="8" max="8" width="10.140625" bestFit="1" customWidth="1"/>
    <col min="9" max="9" width="2.7109375" customWidth="1"/>
    <col min="10" max="10" width="10.85546875" bestFit="1" customWidth="1"/>
    <col min="11" max="11" width="13.7109375" customWidth="1"/>
    <col min="12" max="12" width="64.28515625" customWidth="1"/>
  </cols>
  <sheetData>
    <row r="1" spans="1:12" ht="21" x14ac:dyDescent="0.35">
      <c r="A1" s="23" t="s">
        <v>32</v>
      </c>
      <c r="B1" s="20"/>
      <c r="C1" s="47" t="s">
        <v>0</v>
      </c>
      <c r="D1" s="47"/>
      <c r="E1" s="47"/>
      <c r="F1" s="47"/>
      <c r="G1" s="47"/>
      <c r="H1" s="47"/>
      <c r="I1" s="47"/>
      <c r="J1" s="47"/>
      <c r="K1" s="47"/>
      <c r="L1" s="47"/>
    </row>
    <row r="2" spans="1:12" ht="18.75" x14ac:dyDescent="0.3">
      <c r="A2" s="24">
        <v>44748</v>
      </c>
      <c r="B2" s="21"/>
      <c r="C2" s="48" t="s">
        <v>1</v>
      </c>
      <c r="D2" s="48"/>
      <c r="E2" s="48"/>
      <c r="F2" s="48"/>
      <c r="G2" s="48"/>
      <c r="H2" s="48"/>
      <c r="I2" s="48"/>
      <c r="J2" s="48"/>
      <c r="K2" s="48"/>
      <c r="L2" s="48"/>
    </row>
    <row r="3" spans="1:12" ht="15.75" x14ac:dyDescent="0.25">
      <c r="B3" s="22"/>
      <c r="C3" s="49" t="s">
        <v>50</v>
      </c>
      <c r="D3" s="49"/>
      <c r="E3" s="49"/>
      <c r="F3" s="49"/>
      <c r="G3" s="49"/>
      <c r="H3" s="49"/>
      <c r="I3" s="49"/>
      <c r="J3" s="49"/>
      <c r="K3" s="49"/>
      <c r="L3" s="49"/>
    </row>
    <row r="5" spans="1:12" x14ac:dyDescent="0.25">
      <c r="A5" s="3" t="s">
        <v>7</v>
      </c>
      <c r="E5" s="12">
        <v>25</v>
      </c>
    </row>
    <row r="6" spans="1:12" x14ac:dyDescent="0.25">
      <c r="A6" s="3" t="s">
        <v>28</v>
      </c>
      <c r="E6" s="11">
        <f>'Soil Calc'!B15</f>
        <v>6888</v>
      </c>
    </row>
    <row r="7" spans="1:12" x14ac:dyDescent="0.25">
      <c r="A7" s="3" t="s">
        <v>33</v>
      </c>
      <c r="E7" s="25">
        <v>0.02</v>
      </c>
    </row>
    <row r="8" spans="1:12" x14ac:dyDescent="0.25">
      <c r="A8" s="3" t="s">
        <v>34</v>
      </c>
      <c r="E8" s="12">
        <v>2.7</v>
      </c>
    </row>
    <row r="9" spans="1:12" x14ac:dyDescent="0.25">
      <c r="A9" s="3" t="s">
        <v>51</v>
      </c>
      <c r="E9" s="12">
        <f>9.9093038+10.788244</f>
        <v>20.697547800000002</v>
      </c>
      <c r="F9" s="12" t="s">
        <v>56</v>
      </c>
    </row>
    <row r="10" spans="1:12" x14ac:dyDescent="0.25">
      <c r="A10" s="3" t="s">
        <v>52</v>
      </c>
      <c r="E10" s="12">
        <v>10.189170000000001</v>
      </c>
      <c r="F10" s="12" t="s">
        <v>57</v>
      </c>
    </row>
    <row r="11" spans="1:12" x14ac:dyDescent="0.25">
      <c r="A11" s="3" t="s">
        <v>53</v>
      </c>
      <c r="E11" s="12">
        <v>0</v>
      </c>
      <c r="F11" s="12" t="s">
        <v>58</v>
      </c>
    </row>
    <row r="12" spans="1:12" x14ac:dyDescent="0.25">
      <c r="A12" s="3" t="s">
        <v>54</v>
      </c>
      <c r="E12" s="11">
        <v>8550102</v>
      </c>
      <c r="F12" s="12"/>
    </row>
    <row r="13" spans="1:12" x14ac:dyDescent="0.25">
      <c r="A13" s="3" t="s">
        <v>55</v>
      </c>
      <c r="E13" s="11">
        <f>E12-1929758</f>
        <v>6620344</v>
      </c>
      <c r="F13" s="12"/>
    </row>
    <row r="14" spans="1:12" x14ac:dyDescent="0.25">
      <c r="D14" s="5"/>
    </row>
    <row r="15" spans="1:12" ht="18.75" x14ac:dyDescent="0.3">
      <c r="A15" s="4" t="s">
        <v>2</v>
      </c>
      <c r="L15" s="4" t="s">
        <v>20</v>
      </c>
    </row>
    <row r="17" spans="1:12" x14ac:dyDescent="0.25">
      <c r="A17" s="1" t="s">
        <v>14</v>
      </c>
      <c r="K17" s="5">
        <f>J18-J19</f>
        <v>3341724.3330672267</v>
      </c>
    </row>
    <row r="18" spans="1:12" x14ac:dyDescent="0.25">
      <c r="B18" t="s">
        <v>21</v>
      </c>
      <c r="J18" s="37">
        <f>E8*1200000*(SUM(E9:E11)/1000*E5*J29)</f>
        <v>4104507.6841336582</v>
      </c>
      <c r="L18" s="34" t="s">
        <v>23</v>
      </c>
    </row>
    <row r="19" spans="1:12" x14ac:dyDescent="0.25">
      <c r="B19" t="s">
        <v>35</v>
      </c>
      <c r="J19" s="11">
        <f>E6*E8*E5*J29</f>
        <v>762783.3510664315</v>
      </c>
    </row>
    <row r="20" spans="1:12" x14ac:dyDescent="0.25">
      <c r="A20" s="1" t="s">
        <v>13</v>
      </c>
      <c r="K20" s="11">
        <v>264813.76</v>
      </c>
    </row>
    <row r="21" spans="1:12" ht="15.75" thickBot="1" x14ac:dyDescent="0.3">
      <c r="A21" s="7" t="s">
        <v>12</v>
      </c>
      <c r="B21" s="6"/>
      <c r="C21" s="6"/>
      <c r="D21" s="6"/>
      <c r="E21" s="6"/>
      <c r="F21" s="6"/>
      <c r="G21" s="6"/>
      <c r="H21" s="6"/>
      <c r="I21" s="6"/>
      <c r="J21" s="6"/>
      <c r="K21" s="18">
        <v>0</v>
      </c>
      <c r="L21" s="6"/>
    </row>
    <row r="22" spans="1:12" ht="15.75" thickTop="1" x14ac:dyDescent="0.25">
      <c r="B22" s="3" t="s">
        <v>11</v>
      </c>
      <c r="K22" s="5">
        <f>K17+K20+K21</f>
        <v>3606538.0930672269</v>
      </c>
    </row>
    <row r="24" spans="1:12" ht="18.75" x14ac:dyDescent="0.3">
      <c r="A24" s="4" t="s">
        <v>3</v>
      </c>
      <c r="L24" s="4" t="s">
        <v>20</v>
      </c>
    </row>
    <row r="26" spans="1:12" x14ac:dyDescent="0.25">
      <c r="A26" s="1" t="s">
        <v>16</v>
      </c>
      <c r="K26" s="11">
        <f>(J28*J29-J27*J29)*E5</f>
        <v>762783.3510664315</v>
      </c>
    </row>
    <row r="27" spans="1:12" x14ac:dyDescent="0.25">
      <c r="A27" s="2"/>
      <c r="B27" t="s">
        <v>22</v>
      </c>
      <c r="J27" s="11">
        <f>(SUM(E9:E11))/1000*105100*(28.6/81.2)</f>
        <v>1143.3639109151234</v>
      </c>
      <c r="L27" t="s">
        <v>36</v>
      </c>
    </row>
    <row r="28" spans="1:12" x14ac:dyDescent="0.25">
      <c r="A28" s="2"/>
      <c r="B28" t="s">
        <v>9</v>
      </c>
      <c r="J28" s="5">
        <f>E6*E8+J27</f>
        <v>19740.963910915125</v>
      </c>
      <c r="L28" t="s">
        <v>29</v>
      </c>
    </row>
    <row r="29" spans="1:12" s="12" customFormat="1" x14ac:dyDescent="0.25">
      <c r="A29" s="13"/>
      <c r="B29" s="12" t="s">
        <v>26</v>
      </c>
      <c r="J29" s="14">
        <f>(1+E7)^E5</f>
        <v>1.6406059944647295</v>
      </c>
      <c r="L29" s="12" t="s">
        <v>45</v>
      </c>
    </row>
    <row r="30" spans="1:12" x14ac:dyDescent="0.25">
      <c r="A30" s="1" t="s">
        <v>30</v>
      </c>
      <c r="K30" s="5">
        <f>E5*J31*J32*J33</f>
        <v>0</v>
      </c>
    </row>
    <row r="31" spans="1:12" x14ac:dyDescent="0.25">
      <c r="B31" t="s">
        <v>4</v>
      </c>
      <c r="J31" s="12">
        <v>0</v>
      </c>
    </row>
    <row r="32" spans="1:12" x14ac:dyDescent="0.25">
      <c r="B32" t="s">
        <v>5</v>
      </c>
      <c r="J32" s="11">
        <v>0</v>
      </c>
      <c r="K32" s="12"/>
      <c r="L32" s="19"/>
    </row>
    <row r="33" spans="1:14" x14ac:dyDescent="0.25">
      <c r="B33" t="s">
        <v>27</v>
      </c>
      <c r="J33" s="15">
        <f>(1+E7)^E5</f>
        <v>1.6406059944647295</v>
      </c>
      <c r="K33" s="12"/>
      <c r="L33" s="12"/>
    </row>
    <row r="34" spans="1:14" x14ac:dyDescent="0.25">
      <c r="A34" s="1" t="s">
        <v>17</v>
      </c>
      <c r="K34" s="5">
        <f>J35*J36*J38+(J35*0.5)*J37*J38</f>
        <v>475000</v>
      </c>
      <c r="L34" s="12"/>
    </row>
    <row r="35" spans="1:14" x14ac:dyDescent="0.25">
      <c r="B35" t="s">
        <v>19</v>
      </c>
      <c r="J35" s="12">
        <v>25</v>
      </c>
      <c r="K35" s="12"/>
      <c r="L35" s="12"/>
    </row>
    <row r="36" spans="1:14" x14ac:dyDescent="0.25">
      <c r="B36" t="s">
        <v>5</v>
      </c>
      <c r="J36" s="11">
        <f>25*40*52</f>
        <v>52000</v>
      </c>
      <c r="K36" s="12"/>
      <c r="L36" s="19" t="s">
        <v>170</v>
      </c>
    </row>
    <row r="37" spans="1:14" x14ac:dyDescent="0.25">
      <c r="B37" t="s">
        <v>31</v>
      </c>
      <c r="J37" s="11">
        <f>50*4*50</f>
        <v>10000</v>
      </c>
      <c r="K37" s="12"/>
      <c r="L37" s="19" t="s">
        <v>46</v>
      </c>
    </row>
    <row r="38" spans="1:14" x14ac:dyDescent="0.25">
      <c r="B38" t="s">
        <v>10</v>
      </c>
      <c r="J38" s="36">
        <f>4/12</f>
        <v>0.33333333333333331</v>
      </c>
    </row>
    <row r="39" spans="1:14" x14ac:dyDescent="0.25">
      <c r="A39" s="1" t="s">
        <v>25</v>
      </c>
      <c r="J39" s="9"/>
      <c r="K39" s="5">
        <f>J40*J41*J42</f>
        <v>432820.79831831658</v>
      </c>
    </row>
    <row r="40" spans="1:14" x14ac:dyDescent="0.25">
      <c r="B40" t="s">
        <v>44</v>
      </c>
      <c r="J40" s="11">
        <f>5000*E8</f>
        <v>13500</v>
      </c>
      <c r="L40" t="s">
        <v>171</v>
      </c>
    </row>
    <row r="41" spans="1:14" x14ac:dyDescent="0.25">
      <c r="B41" t="s">
        <v>6</v>
      </c>
      <c r="J41" s="12">
        <v>25</v>
      </c>
    </row>
    <row r="42" spans="1:14" x14ac:dyDescent="0.25">
      <c r="B42" t="s">
        <v>27</v>
      </c>
      <c r="J42" s="15">
        <f>(1+0.01)^E5</f>
        <v>1.2824319950172343</v>
      </c>
      <c r="K42" s="12"/>
      <c r="L42" s="12"/>
    </row>
    <row r="43" spans="1:14" x14ac:dyDescent="0.25">
      <c r="A43" s="1" t="s">
        <v>164</v>
      </c>
      <c r="J43" s="16"/>
      <c r="K43" s="5">
        <f>J44*J45*J46*E5*J33</f>
        <v>4345965.279337069</v>
      </c>
      <c r="L43" s="5"/>
    </row>
    <row r="44" spans="1:14" x14ac:dyDescent="0.25">
      <c r="A44" s="1"/>
      <c r="B44" t="s">
        <v>165</v>
      </c>
      <c r="J44" s="16">
        <v>883</v>
      </c>
      <c r="K44" s="5"/>
      <c r="N44" t="s">
        <v>169</v>
      </c>
    </row>
    <row r="45" spans="1:14" x14ac:dyDescent="0.25">
      <c r="B45" t="s">
        <v>167</v>
      </c>
      <c r="J45" s="43">
        <v>0.1</v>
      </c>
    </row>
    <row r="46" spans="1:14" x14ac:dyDescent="0.25">
      <c r="B46" t="s">
        <v>168</v>
      </c>
      <c r="J46" s="5">
        <f>100*12</f>
        <v>1200</v>
      </c>
      <c r="L46" t="s">
        <v>166</v>
      </c>
    </row>
    <row r="47" spans="1:14" x14ac:dyDescent="0.25">
      <c r="A47" s="1"/>
      <c r="J47" s="16"/>
      <c r="K47" s="11"/>
    </row>
    <row r="48" spans="1:14" ht="15.75" thickBot="1" x14ac:dyDescent="0.3">
      <c r="A48" s="7" t="s">
        <v>8</v>
      </c>
      <c r="B48" s="6"/>
      <c r="C48" s="6"/>
      <c r="D48" s="6"/>
      <c r="E48" s="6"/>
      <c r="F48" s="6"/>
      <c r="G48" s="6"/>
      <c r="H48" s="6"/>
      <c r="I48" s="6"/>
      <c r="J48" s="17"/>
      <c r="K48" s="18">
        <f>E12*0.01</f>
        <v>85501.02</v>
      </c>
      <c r="L48" s="6" t="s">
        <v>24</v>
      </c>
    </row>
    <row r="49" spans="1:12" ht="15.75" thickTop="1" x14ac:dyDescent="0.25">
      <c r="A49" s="1"/>
      <c r="B49" s="10" t="s">
        <v>15</v>
      </c>
      <c r="K49" s="11">
        <f>SUM(K26:K48)</f>
        <v>6102070.4487218168</v>
      </c>
    </row>
    <row r="50" spans="1:12" x14ac:dyDescent="0.25">
      <c r="A50" s="1"/>
      <c r="K50" s="5"/>
    </row>
    <row r="51" spans="1:12" x14ac:dyDescent="0.25">
      <c r="B51" s="10" t="s">
        <v>18</v>
      </c>
      <c r="K51" s="11">
        <f>K49-K22</f>
        <v>2495532.3556545898</v>
      </c>
    </row>
    <row r="52" spans="1:12" x14ac:dyDescent="0.25">
      <c r="B52" s="10"/>
      <c r="K52" s="11"/>
    </row>
    <row r="54" spans="1:12" s="12" customFormat="1" ht="18.75" x14ac:dyDescent="0.3">
      <c r="A54" s="42" t="s">
        <v>150</v>
      </c>
      <c r="L54" s="42"/>
    </row>
    <row r="55" spans="1:12" ht="15.75" x14ac:dyDescent="0.25">
      <c r="A55" s="38" t="s">
        <v>66</v>
      </c>
    </row>
    <row r="56" spans="1:12" ht="15.75" x14ac:dyDescent="0.25">
      <c r="A56" s="38"/>
    </row>
    <row r="57" spans="1:12" x14ac:dyDescent="0.25">
      <c r="A57" s="40" t="s">
        <v>69</v>
      </c>
      <c r="H57" s="40" t="s">
        <v>151</v>
      </c>
    </row>
    <row r="58" spans="1:12" x14ac:dyDescent="0.25">
      <c r="A58" t="s">
        <v>70</v>
      </c>
      <c r="H58" s="44" t="s">
        <v>156</v>
      </c>
      <c r="I58" t="s">
        <v>157</v>
      </c>
    </row>
    <row r="59" spans="1:12" x14ac:dyDescent="0.25">
      <c r="A59" t="s">
        <v>71</v>
      </c>
      <c r="H59" s="37">
        <f>K22</f>
        <v>3606538.0930672269</v>
      </c>
      <c r="I59" t="s">
        <v>153</v>
      </c>
    </row>
    <row r="60" spans="1:12" x14ac:dyDescent="0.25">
      <c r="A60" t="s">
        <v>72</v>
      </c>
      <c r="H60" s="45"/>
    </row>
    <row r="61" spans="1:12" x14ac:dyDescent="0.25">
      <c r="A61" t="s">
        <v>73</v>
      </c>
      <c r="H61" s="34"/>
    </row>
    <row r="62" spans="1:12" x14ac:dyDescent="0.25">
      <c r="A62" t="s">
        <v>74</v>
      </c>
      <c r="H62" s="37"/>
    </row>
    <row r="63" spans="1:12" x14ac:dyDescent="0.25">
      <c r="A63" t="s">
        <v>75</v>
      </c>
      <c r="H63" s="34"/>
    </row>
    <row r="65" spans="1:9" x14ac:dyDescent="0.25">
      <c r="A65" s="50" t="s">
        <v>76</v>
      </c>
      <c r="B65" s="50"/>
      <c r="H65" s="40" t="s">
        <v>151</v>
      </c>
    </row>
    <row r="66" spans="1:9" x14ac:dyDescent="0.25">
      <c r="A66" t="s">
        <v>78</v>
      </c>
      <c r="H66" s="45"/>
      <c r="I66" t="s">
        <v>154</v>
      </c>
    </row>
    <row r="67" spans="1:9" x14ac:dyDescent="0.25">
      <c r="A67" t="s">
        <v>80</v>
      </c>
      <c r="H67" s="16" t="s">
        <v>155</v>
      </c>
      <c r="I67" t="s">
        <v>153</v>
      </c>
    </row>
    <row r="68" spans="1:9" x14ac:dyDescent="0.25">
      <c r="A68" t="s">
        <v>81</v>
      </c>
      <c r="H68" s="16" t="s">
        <v>158</v>
      </c>
      <c r="I68" t="s">
        <v>153</v>
      </c>
    </row>
    <row r="69" spans="1:9" x14ac:dyDescent="0.25">
      <c r="A69" t="s">
        <v>82</v>
      </c>
      <c r="H69" s="46" t="s">
        <v>152</v>
      </c>
      <c r="I69" t="s">
        <v>153</v>
      </c>
    </row>
    <row r="70" spans="1:9" x14ac:dyDescent="0.25">
      <c r="A70" t="s">
        <v>87</v>
      </c>
      <c r="H70" s="11">
        <f>K49</f>
        <v>6102070.4487218168</v>
      </c>
      <c r="I70" t="s">
        <v>153</v>
      </c>
    </row>
    <row r="72" spans="1:9" x14ac:dyDescent="0.25">
      <c r="A72" s="50" t="s">
        <v>161</v>
      </c>
      <c r="B72" s="50"/>
      <c r="H72" s="40" t="s">
        <v>151</v>
      </c>
    </row>
    <row r="73" spans="1:9" x14ac:dyDescent="0.25">
      <c r="A73" t="s">
        <v>91</v>
      </c>
      <c r="H73" s="44" t="s">
        <v>152</v>
      </c>
    </row>
    <row r="74" spans="1:9" x14ac:dyDescent="0.25">
      <c r="A74" t="s">
        <v>101</v>
      </c>
      <c r="H74" s="44" t="s">
        <v>159</v>
      </c>
    </row>
    <row r="75" spans="1:9" x14ac:dyDescent="0.25">
      <c r="A75" t="s">
        <v>108</v>
      </c>
      <c r="H75" s="44" t="s">
        <v>152</v>
      </c>
    </row>
    <row r="76" spans="1:9" x14ac:dyDescent="0.25">
      <c r="A76" t="s">
        <v>116</v>
      </c>
      <c r="H76" s="44" t="s">
        <v>155</v>
      </c>
    </row>
    <row r="77" spans="1:9" x14ac:dyDescent="0.25">
      <c r="A77" t="s">
        <v>124</v>
      </c>
      <c r="H77" s="44" t="s">
        <v>160</v>
      </c>
    </row>
    <row r="78" spans="1:9" x14ac:dyDescent="0.25">
      <c r="A78" t="s">
        <v>132</v>
      </c>
      <c r="H78" s="44" t="s">
        <v>162</v>
      </c>
      <c r="I78" t="s">
        <v>163</v>
      </c>
    </row>
    <row r="79" spans="1:9" x14ac:dyDescent="0.25">
      <c r="H79" s="23"/>
    </row>
    <row r="80" spans="1:9" x14ac:dyDescent="0.25">
      <c r="H80" s="9"/>
    </row>
    <row r="81" spans="8:8" x14ac:dyDescent="0.25">
      <c r="H81" s="23"/>
    </row>
    <row r="82" spans="8:8" x14ac:dyDescent="0.25">
      <c r="H82" s="23"/>
    </row>
    <row r="83" spans="8:8" x14ac:dyDescent="0.25">
      <c r="H83" s="23"/>
    </row>
  </sheetData>
  <mergeCells count="5">
    <mergeCell ref="C1:L1"/>
    <mergeCell ref="C2:L2"/>
    <mergeCell ref="C3:L3"/>
    <mergeCell ref="A65:B65"/>
    <mergeCell ref="A72:B72"/>
  </mergeCells>
  <pageMargins left="0.25" right="0.25" top="0.75" bottom="0.75" header="0.3" footer="0.3"/>
  <pageSetup scale="59"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D17"/>
  <sheetViews>
    <sheetView workbookViewId="0">
      <selection activeCell="B15" sqref="B15"/>
    </sheetView>
  </sheetViews>
  <sheetFormatPr defaultRowHeight="15" x14ac:dyDescent="0.25"/>
  <cols>
    <col min="1" max="1" width="40.140625" customWidth="1"/>
    <col min="2" max="4" width="11.42578125" style="8" customWidth="1"/>
  </cols>
  <sheetData>
    <row r="2" spans="1:4" x14ac:dyDescent="0.25">
      <c r="A2" t="s">
        <v>37</v>
      </c>
      <c r="B2" s="33">
        <v>7500</v>
      </c>
    </row>
    <row r="4" spans="1:4" ht="30" x14ac:dyDescent="0.25">
      <c r="B4" s="32" t="s">
        <v>40</v>
      </c>
      <c r="C4" s="32" t="s">
        <v>41</v>
      </c>
      <c r="D4" s="32" t="s">
        <v>42</v>
      </c>
    </row>
    <row r="5" spans="1:4" x14ac:dyDescent="0.25">
      <c r="A5" t="s">
        <v>38</v>
      </c>
      <c r="B5" s="26">
        <v>1</v>
      </c>
      <c r="C5" s="26">
        <v>0</v>
      </c>
      <c r="D5" s="27">
        <f>B5*C5</f>
        <v>0</v>
      </c>
    </row>
    <row r="6" spans="1:4" x14ac:dyDescent="0.25">
      <c r="A6" t="s">
        <v>39</v>
      </c>
      <c r="B6" s="26">
        <v>0</v>
      </c>
      <c r="C6" s="26">
        <v>0.3</v>
      </c>
      <c r="D6" s="28">
        <f>B6*C6</f>
        <v>0</v>
      </c>
    </row>
    <row r="7" spans="1:4" x14ac:dyDescent="0.25">
      <c r="B7" s="26"/>
      <c r="C7" s="26"/>
      <c r="D7" s="27">
        <f>SUM(D5:D6)</f>
        <v>0</v>
      </c>
    </row>
    <row r="8" spans="1:4" x14ac:dyDescent="0.25">
      <c r="B8" s="26"/>
      <c r="D8" s="27"/>
    </row>
    <row r="9" spans="1:4" x14ac:dyDescent="0.25">
      <c r="A9" t="s">
        <v>47</v>
      </c>
      <c r="B9" s="27">
        <v>0.72889999999999999</v>
      </c>
      <c r="C9" s="26">
        <v>0</v>
      </c>
      <c r="D9" s="30">
        <f>B9*C9</f>
        <v>0</v>
      </c>
    </row>
    <row r="10" spans="1:4" x14ac:dyDescent="0.25">
      <c r="A10" t="s">
        <v>48</v>
      </c>
      <c r="B10" s="28">
        <v>0.27200000000000002</v>
      </c>
      <c r="C10" s="26">
        <v>0.3</v>
      </c>
      <c r="D10" s="31">
        <f>B10*C10</f>
        <v>8.1600000000000006E-2</v>
      </c>
    </row>
    <row r="11" spans="1:4" x14ac:dyDescent="0.25">
      <c r="B11" s="29">
        <f>SUM(B9:B10)</f>
        <v>1.0009000000000001</v>
      </c>
      <c r="C11" s="29"/>
      <c r="D11" s="27">
        <f>SUM(D9:D10)</f>
        <v>8.1600000000000006E-2</v>
      </c>
    </row>
    <row r="12" spans="1:4" x14ac:dyDescent="0.25">
      <c r="B12" s="29"/>
      <c r="C12" s="29"/>
      <c r="D12" s="27"/>
    </row>
    <row r="13" spans="1:4" x14ac:dyDescent="0.25">
      <c r="A13" t="s">
        <v>49</v>
      </c>
      <c r="B13" s="26"/>
      <c r="D13" s="30">
        <f>IF((D7+D11)&gt;0.4, 0.4, D7+D11)</f>
        <v>8.1600000000000006E-2</v>
      </c>
    </row>
    <row r="14" spans="1:4" x14ac:dyDescent="0.25">
      <c r="B14" s="26"/>
    </row>
    <row r="15" spans="1:4" x14ac:dyDescent="0.25">
      <c r="A15" s="34" t="s">
        <v>43</v>
      </c>
      <c r="B15" s="35">
        <f>B2-B2*D13</f>
        <v>6888</v>
      </c>
    </row>
    <row r="16" spans="1:4" x14ac:dyDescent="0.25">
      <c r="B16" s="26"/>
    </row>
    <row r="17" spans="2:2" x14ac:dyDescent="0.25">
      <c r="B17" s="26"/>
    </row>
  </sheetData>
  <pageMargins left="0.7" right="0.7" top="0.75" bottom="0.75" header="0.3" footer="0.3"/>
  <pageSetup orientation="portrait" verticalDpi="597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2E5DF7-4BC4-403D-A73D-35BAE12B272B}">
  <dimension ref="A1:J30"/>
  <sheetViews>
    <sheetView topLeftCell="G1" workbookViewId="0">
      <selection activeCell="H1" sqref="H1:H26"/>
    </sheetView>
  </sheetViews>
  <sheetFormatPr defaultRowHeight="15" x14ac:dyDescent="0.25"/>
  <cols>
    <col min="1" max="1" width="14.85546875" customWidth="1"/>
    <col min="2" max="2" width="78.140625" bestFit="1" customWidth="1"/>
    <col min="3" max="3" width="40.28515625" bestFit="1" customWidth="1"/>
    <col min="4" max="4" width="45.7109375" bestFit="1" customWidth="1"/>
    <col min="5" max="6" width="57.42578125" bestFit="1" customWidth="1"/>
    <col min="7" max="8" width="40.28515625" bestFit="1" customWidth="1"/>
    <col min="9" max="9" width="57.7109375" bestFit="1" customWidth="1"/>
    <col min="10" max="10" width="26.42578125" bestFit="1" customWidth="1"/>
  </cols>
  <sheetData>
    <row r="1" spans="1:10" s="38" customFormat="1" ht="15.75" x14ac:dyDescent="0.25">
      <c r="A1" s="38" t="s">
        <v>59</v>
      </c>
      <c r="B1" s="39" t="s">
        <v>60</v>
      </c>
      <c r="C1" s="39" t="s">
        <v>61</v>
      </c>
      <c r="D1" s="39" t="s">
        <v>62</v>
      </c>
      <c r="E1" s="39" t="s">
        <v>63</v>
      </c>
      <c r="F1" s="39" t="s">
        <v>64</v>
      </c>
      <c r="G1" s="38" t="s">
        <v>65</v>
      </c>
      <c r="H1" s="38" t="s">
        <v>66</v>
      </c>
      <c r="I1" s="38" t="s">
        <v>67</v>
      </c>
      <c r="J1" s="38" t="s">
        <v>68</v>
      </c>
    </row>
    <row r="2" spans="1:10" s="38" customFormat="1" ht="15.75" x14ac:dyDescent="0.25">
      <c r="B2" s="39"/>
      <c r="C2" s="39"/>
      <c r="D2" s="39"/>
      <c r="E2" s="39"/>
      <c r="F2" s="39"/>
    </row>
    <row r="3" spans="1:10" x14ac:dyDescent="0.25">
      <c r="B3" s="40" t="s">
        <v>69</v>
      </c>
      <c r="C3" s="40" t="s">
        <v>69</v>
      </c>
      <c r="D3" s="40" t="s">
        <v>69</v>
      </c>
      <c r="E3" s="40" t="s">
        <v>69</v>
      </c>
      <c r="F3" s="40" t="s">
        <v>69</v>
      </c>
      <c r="G3" s="40" t="s">
        <v>69</v>
      </c>
      <c r="H3" s="40" t="s">
        <v>69</v>
      </c>
      <c r="I3" s="40" t="s">
        <v>69</v>
      </c>
      <c r="J3" s="40" t="s">
        <v>69</v>
      </c>
    </row>
    <row r="4" spans="1:10" x14ac:dyDescent="0.25">
      <c r="B4" t="s">
        <v>70</v>
      </c>
      <c r="C4" t="s">
        <v>70</v>
      </c>
      <c r="D4" t="s">
        <v>70</v>
      </c>
      <c r="E4" t="s">
        <v>70</v>
      </c>
      <c r="F4" t="s">
        <v>70</v>
      </c>
      <c r="G4" t="s">
        <v>70</v>
      </c>
      <c r="H4" t="s">
        <v>70</v>
      </c>
      <c r="I4" t="s">
        <v>70</v>
      </c>
      <c r="J4" t="s">
        <v>70</v>
      </c>
    </row>
    <row r="5" spans="1:10" x14ac:dyDescent="0.25">
      <c r="B5" t="s">
        <v>71</v>
      </c>
      <c r="C5" t="s">
        <v>71</v>
      </c>
      <c r="D5" t="s">
        <v>71</v>
      </c>
      <c r="E5" t="s">
        <v>71</v>
      </c>
      <c r="F5" t="s">
        <v>71</v>
      </c>
      <c r="G5" t="s">
        <v>71</v>
      </c>
      <c r="H5" t="s">
        <v>71</v>
      </c>
      <c r="I5" t="s">
        <v>71</v>
      </c>
      <c r="J5" t="s">
        <v>71</v>
      </c>
    </row>
    <row r="6" spans="1:10" x14ac:dyDescent="0.25">
      <c r="B6" t="s">
        <v>72</v>
      </c>
      <c r="C6" t="s">
        <v>72</v>
      </c>
      <c r="D6" t="s">
        <v>72</v>
      </c>
      <c r="E6" t="s">
        <v>72</v>
      </c>
      <c r="F6" t="s">
        <v>72</v>
      </c>
      <c r="G6" t="s">
        <v>72</v>
      </c>
      <c r="H6" t="s">
        <v>72</v>
      </c>
      <c r="I6" t="s">
        <v>72</v>
      </c>
      <c r="J6" t="s">
        <v>72</v>
      </c>
    </row>
    <row r="7" spans="1:10" x14ac:dyDescent="0.25">
      <c r="B7" t="s">
        <v>73</v>
      </c>
      <c r="C7" t="s">
        <v>73</v>
      </c>
      <c r="D7" t="s">
        <v>73</v>
      </c>
      <c r="E7" t="s">
        <v>73</v>
      </c>
      <c r="F7" t="s">
        <v>73</v>
      </c>
      <c r="G7" t="s">
        <v>73</v>
      </c>
      <c r="H7" t="s">
        <v>73</v>
      </c>
      <c r="I7" t="s">
        <v>73</v>
      </c>
      <c r="J7" t="s">
        <v>73</v>
      </c>
    </row>
    <row r="8" spans="1:10" x14ac:dyDescent="0.25">
      <c r="B8" t="s">
        <v>74</v>
      </c>
      <c r="C8" t="s">
        <v>74</v>
      </c>
      <c r="D8" t="s">
        <v>74</v>
      </c>
      <c r="E8" t="s">
        <v>74</v>
      </c>
      <c r="F8" t="s">
        <v>74</v>
      </c>
      <c r="G8" t="s">
        <v>74</v>
      </c>
      <c r="H8" t="s">
        <v>74</v>
      </c>
      <c r="I8" t="s">
        <v>74</v>
      </c>
      <c r="J8" t="s">
        <v>74</v>
      </c>
    </row>
    <row r="9" spans="1:10" x14ac:dyDescent="0.25">
      <c r="B9" t="s">
        <v>75</v>
      </c>
      <c r="C9" t="s">
        <v>75</v>
      </c>
      <c r="D9" t="s">
        <v>75</v>
      </c>
      <c r="E9" t="s">
        <v>75</v>
      </c>
      <c r="F9" t="s">
        <v>75</v>
      </c>
      <c r="G9" t="s">
        <v>75</v>
      </c>
      <c r="H9" t="s">
        <v>75</v>
      </c>
      <c r="I9" t="s">
        <v>75</v>
      </c>
      <c r="J9" t="s">
        <v>75</v>
      </c>
    </row>
    <row r="11" spans="1:10" s="3" customFormat="1" x14ac:dyDescent="0.25">
      <c r="B11" s="41" t="s">
        <v>76</v>
      </c>
      <c r="C11" s="41" t="s">
        <v>76</v>
      </c>
      <c r="D11" s="41" t="s">
        <v>76</v>
      </c>
      <c r="E11" s="41" t="s">
        <v>76</v>
      </c>
      <c r="F11" s="41" t="s">
        <v>76</v>
      </c>
      <c r="G11" s="41" t="s">
        <v>76</v>
      </c>
      <c r="H11" s="41" t="s">
        <v>76</v>
      </c>
      <c r="I11" s="41" t="s">
        <v>76</v>
      </c>
      <c r="J11" s="41" t="s">
        <v>76</v>
      </c>
    </row>
    <row r="12" spans="1:10" x14ac:dyDescent="0.25">
      <c r="B12" t="s">
        <v>77</v>
      </c>
      <c r="C12" t="s">
        <v>77</v>
      </c>
      <c r="D12" t="s">
        <v>78</v>
      </c>
      <c r="E12" t="s">
        <v>78</v>
      </c>
      <c r="F12" t="s">
        <v>78</v>
      </c>
      <c r="G12" t="s">
        <v>78</v>
      </c>
      <c r="H12" t="s">
        <v>78</v>
      </c>
      <c r="I12" t="s">
        <v>78</v>
      </c>
      <c r="J12" t="s">
        <v>78</v>
      </c>
    </row>
    <row r="13" spans="1:10" x14ac:dyDescent="0.25">
      <c r="B13" t="s">
        <v>79</v>
      </c>
      <c r="C13" t="s">
        <v>79</v>
      </c>
      <c r="D13" t="s">
        <v>80</v>
      </c>
      <c r="E13" t="s">
        <v>80</v>
      </c>
      <c r="F13" t="s">
        <v>80</v>
      </c>
      <c r="G13" t="s">
        <v>80</v>
      </c>
      <c r="H13" t="s">
        <v>80</v>
      </c>
      <c r="I13" t="s">
        <v>80</v>
      </c>
      <c r="J13" t="s">
        <v>80</v>
      </c>
    </row>
    <row r="14" spans="1:10" x14ac:dyDescent="0.25">
      <c r="B14" t="s">
        <v>81</v>
      </c>
      <c r="C14" t="s">
        <v>81</v>
      </c>
      <c r="D14" t="s">
        <v>81</v>
      </c>
      <c r="E14" t="s">
        <v>81</v>
      </c>
      <c r="F14" t="s">
        <v>81</v>
      </c>
      <c r="G14" t="s">
        <v>81</v>
      </c>
      <c r="H14" t="s">
        <v>81</v>
      </c>
      <c r="I14" t="s">
        <v>81</v>
      </c>
      <c r="J14" t="s">
        <v>81</v>
      </c>
    </row>
    <row r="15" spans="1:10" x14ac:dyDescent="0.25">
      <c r="B15" t="s">
        <v>82</v>
      </c>
      <c r="C15" t="s">
        <v>82</v>
      </c>
      <c r="D15" t="s">
        <v>83</v>
      </c>
      <c r="E15" t="s">
        <v>84</v>
      </c>
      <c r="F15" t="s">
        <v>84</v>
      </c>
      <c r="G15" t="s">
        <v>82</v>
      </c>
      <c r="H15" t="s">
        <v>82</v>
      </c>
      <c r="I15" t="s">
        <v>85</v>
      </c>
      <c r="J15" t="s">
        <v>86</v>
      </c>
    </row>
    <row r="16" spans="1:10" x14ac:dyDescent="0.25">
      <c r="B16" t="s">
        <v>87</v>
      </c>
      <c r="C16" t="s">
        <v>87</v>
      </c>
      <c r="D16" t="s">
        <v>88</v>
      </c>
      <c r="E16" t="s">
        <v>87</v>
      </c>
      <c r="F16" t="s">
        <v>87</v>
      </c>
      <c r="G16" t="s">
        <v>87</v>
      </c>
      <c r="H16" t="s">
        <v>87</v>
      </c>
      <c r="I16" t="s">
        <v>87</v>
      </c>
    </row>
    <row r="17" spans="2:10" x14ac:dyDescent="0.25">
      <c r="D17" t="s">
        <v>89</v>
      </c>
    </row>
    <row r="19" spans="2:10" x14ac:dyDescent="0.25">
      <c r="B19" s="41" t="s">
        <v>90</v>
      </c>
      <c r="C19" s="41" t="s">
        <v>90</v>
      </c>
      <c r="D19" s="41" t="s">
        <v>90</v>
      </c>
      <c r="E19" s="41" t="s">
        <v>90</v>
      </c>
      <c r="F19" s="41" t="s">
        <v>90</v>
      </c>
      <c r="G19" s="41" t="s">
        <v>90</v>
      </c>
      <c r="H19" s="41" t="s">
        <v>90</v>
      </c>
      <c r="I19" s="41" t="s">
        <v>90</v>
      </c>
      <c r="J19" s="41" t="s">
        <v>90</v>
      </c>
    </row>
    <row r="20" spans="2:10" x14ac:dyDescent="0.25">
      <c r="B20" t="s">
        <v>91</v>
      </c>
      <c r="C20" t="s">
        <v>91</v>
      </c>
      <c r="D20" t="s">
        <v>92</v>
      </c>
      <c r="E20" t="s">
        <v>93</v>
      </c>
      <c r="F20" t="s">
        <v>94</v>
      </c>
      <c r="G20" t="s">
        <v>91</v>
      </c>
      <c r="H20" t="s">
        <v>91</v>
      </c>
      <c r="I20" t="s">
        <v>95</v>
      </c>
      <c r="J20" t="s">
        <v>96</v>
      </c>
    </row>
    <row r="21" spans="2:10" x14ac:dyDescent="0.25">
      <c r="B21" t="s">
        <v>97</v>
      </c>
      <c r="C21" t="s">
        <v>97</v>
      </c>
      <c r="D21" t="s">
        <v>98</v>
      </c>
      <c r="E21" t="s">
        <v>99</v>
      </c>
      <c r="F21" t="s">
        <v>100</v>
      </c>
      <c r="G21" t="s">
        <v>97</v>
      </c>
      <c r="H21" t="s">
        <v>101</v>
      </c>
      <c r="I21" t="s">
        <v>102</v>
      </c>
      <c r="J21" t="s">
        <v>103</v>
      </c>
    </row>
    <row r="22" spans="2:10" x14ac:dyDescent="0.25">
      <c r="B22" t="s">
        <v>104</v>
      </c>
      <c r="C22" t="s">
        <v>104</v>
      </c>
      <c r="D22" t="s">
        <v>105</v>
      </c>
      <c r="E22" t="s">
        <v>106</v>
      </c>
      <c r="F22" t="s">
        <v>107</v>
      </c>
      <c r="G22" t="s">
        <v>104</v>
      </c>
      <c r="H22" t="s">
        <v>108</v>
      </c>
      <c r="I22" t="s">
        <v>109</v>
      </c>
      <c r="J22" t="s">
        <v>110</v>
      </c>
    </row>
    <row r="23" spans="2:10" x14ac:dyDescent="0.25">
      <c r="B23" t="s">
        <v>111</v>
      </c>
      <c r="C23" t="s">
        <v>111</v>
      </c>
      <c r="D23" t="s">
        <v>112</v>
      </c>
      <c r="E23" t="s">
        <v>113</v>
      </c>
      <c r="F23" t="s">
        <v>114</v>
      </c>
      <c r="G23" t="s">
        <v>115</v>
      </c>
      <c r="H23" t="s">
        <v>116</v>
      </c>
      <c r="I23" t="s">
        <v>117</v>
      </c>
      <c r="J23" t="s">
        <v>118</v>
      </c>
    </row>
    <row r="24" spans="2:10" x14ac:dyDescent="0.25">
      <c r="B24" t="s">
        <v>119</v>
      </c>
      <c r="C24" t="s">
        <v>119</v>
      </c>
      <c r="D24" t="s">
        <v>120</v>
      </c>
      <c r="E24" t="s">
        <v>121</v>
      </c>
      <c r="F24" t="s">
        <v>122</v>
      </c>
      <c r="G24" t="s">
        <v>123</v>
      </c>
      <c r="H24" t="s">
        <v>124</v>
      </c>
      <c r="I24" t="s">
        <v>125</v>
      </c>
      <c r="J24" t="s">
        <v>126</v>
      </c>
    </row>
    <row r="25" spans="2:10" x14ac:dyDescent="0.25">
      <c r="B25" t="s">
        <v>127</v>
      </c>
      <c r="C25" t="s">
        <v>127</v>
      </c>
      <c r="D25" t="s">
        <v>128</v>
      </c>
      <c r="E25" t="s">
        <v>129</v>
      </c>
      <c r="F25" t="s">
        <v>130</v>
      </c>
      <c r="G25" t="s">
        <v>131</v>
      </c>
      <c r="H25" t="s">
        <v>132</v>
      </c>
      <c r="I25" t="s">
        <v>133</v>
      </c>
      <c r="J25" t="s">
        <v>134</v>
      </c>
    </row>
    <row r="26" spans="2:10" x14ac:dyDescent="0.25">
      <c r="B26" t="s">
        <v>135</v>
      </c>
      <c r="C26" t="s">
        <v>135</v>
      </c>
      <c r="D26" t="s">
        <v>136</v>
      </c>
      <c r="E26" t="s">
        <v>137</v>
      </c>
      <c r="I26" t="s">
        <v>138</v>
      </c>
      <c r="J26" t="s">
        <v>139</v>
      </c>
    </row>
    <row r="27" spans="2:10" x14ac:dyDescent="0.25">
      <c r="B27" t="s">
        <v>140</v>
      </c>
      <c r="C27" t="s">
        <v>140</v>
      </c>
      <c r="D27" t="s">
        <v>141</v>
      </c>
      <c r="I27" t="s">
        <v>142</v>
      </c>
      <c r="J27" t="s">
        <v>142</v>
      </c>
    </row>
    <row r="28" spans="2:10" x14ac:dyDescent="0.25">
      <c r="D28" t="s">
        <v>143</v>
      </c>
      <c r="I28" t="s">
        <v>144</v>
      </c>
      <c r="J28" t="s">
        <v>145</v>
      </c>
    </row>
    <row r="29" spans="2:10" x14ac:dyDescent="0.25">
      <c r="D29" t="s">
        <v>146</v>
      </c>
      <c r="I29" t="s">
        <v>147</v>
      </c>
    </row>
    <row r="30" spans="2:10" x14ac:dyDescent="0.25">
      <c r="D30" t="s">
        <v>148</v>
      </c>
      <c r="I30" t="s">
        <v>149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Cost Benefit</vt:lpstr>
      <vt:lpstr>Soil Calc</vt:lpstr>
      <vt:lpstr>UPEP Criteria</vt:lpstr>
      <vt:lpstr>'Cost Benefit'!Print_Area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</dc:creator>
  <cp:lastModifiedBy>Cheyenne Steria</cp:lastModifiedBy>
  <cp:lastPrinted>2020-03-19T17:49:58Z</cp:lastPrinted>
  <dcterms:created xsi:type="dcterms:W3CDTF">2017-08-16T15:52:12Z</dcterms:created>
  <dcterms:modified xsi:type="dcterms:W3CDTF">2022-07-06T19:01:32Z</dcterms:modified>
</cp:coreProperties>
</file>