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U:\PILOTs &amp; Incentives\23012203A Turin Highland Lodge\"/>
    </mc:Choice>
  </mc:AlternateContent>
  <xr:revisionPtr revIDLastSave="0" documentId="13_ncr:1_{9AD14BEE-F5A6-4A68-BC01-213CC62A2EB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ost-Benefit" sheetId="3" r:id="rId1"/>
    <sheet name="Allocation" sheetId="6" r:id="rId2"/>
    <sheet name="Exemption Schedules" sheetId="4" r:id="rId3"/>
    <sheet name="UPEP Criteria" sheetId="7" r:id="rId4"/>
    <sheet name="Sheet2" sheetId="8" r:id="rId5"/>
  </sheets>
  <definedNames>
    <definedName name="_xlnm.Print_Area" localSheetId="1">Allocation!$A$1:$F$37</definedName>
    <definedName name="_xlnm.Print_Area" localSheetId="0">'Cost-Benefit'!$A$1:$L$81</definedName>
    <definedName name="_xlnm.Print_Titles" localSheetId="1">Allocation!$A:$B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7" i="3" l="1"/>
  <c r="H56" i="3"/>
  <c r="K34" i="3"/>
  <c r="J22" i="3"/>
  <c r="J40" i="3"/>
  <c r="J36" i="3"/>
  <c r="J31" i="3"/>
  <c r="E11" i="3"/>
  <c r="K25" i="3" l="1"/>
  <c r="F11" i="6"/>
  <c r="F10" i="6"/>
  <c r="F13" i="6"/>
  <c r="F12" i="6"/>
  <c r="F6" i="6"/>
  <c r="K44" i="3"/>
  <c r="K24" i="3"/>
  <c r="E14" i="3" l="1"/>
  <c r="G13" i="6"/>
  <c r="G11" i="6"/>
  <c r="C21" i="6"/>
  <c r="C32" i="6"/>
  <c r="C17" i="6"/>
  <c r="C28" i="6"/>
  <c r="C24" i="6"/>
  <c r="C20" i="6"/>
  <c r="G10" i="6"/>
  <c r="C25" i="6"/>
  <c r="C30" i="6"/>
  <c r="C26" i="6"/>
  <c r="C22" i="6"/>
  <c r="G22" i="6" s="1"/>
  <c r="C18" i="6"/>
  <c r="G12" i="6"/>
  <c r="C29" i="6"/>
  <c r="C31" i="6"/>
  <c r="D31" i="6" s="1"/>
  <c r="C27" i="6"/>
  <c r="C23" i="6"/>
  <c r="C19" i="6"/>
  <c r="E18" i="6" l="1"/>
  <c r="F23" i="6"/>
  <c r="E24" i="6"/>
  <c r="G17" i="6"/>
  <c r="C33" i="6"/>
  <c r="E19" i="6"/>
  <c r="E29" i="6"/>
  <c r="F32" i="6"/>
  <c r="F19" i="6"/>
  <c r="F26" i="6"/>
  <c r="F30" i="6"/>
  <c r="F24" i="6"/>
  <c r="E30" i="6"/>
  <c r="F20" i="6"/>
  <c r="D29" i="6"/>
  <c r="G23" i="6"/>
  <c r="F18" i="6"/>
  <c r="F25" i="6"/>
  <c r="D17" i="6"/>
  <c r="D19" i="6"/>
  <c r="G19" i="6"/>
  <c r="D21" i="6"/>
  <c r="G21" i="6"/>
  <c r="G27" i="6"/>
  <c r="D28" i="6"/>
  <c r="E17" i="6"/>
  <c r="G20" i="6"/>
  <c r="G24" i="6"/>
  <c r="F22" i="6"/>
  <c r="D30" i="6"/>
  <c r="D26" i="6"/>
  <c r="D23" i="6"/>
  <c r="F17" i="6"/>
  <c r="G30" i="6"/>
  <c r="D24" i="6"/>
  <c r="F21" i="6"/>
  <c r="G31" i="6"/>
  <c r="F31" i="6"/>
  <c r="D22" i="6"/>
  <c r="G29" i="6"/>
  <c r="G26" i="6"/>
  <c r="D20" i="6"/>
  <c r="G32" i="6"/>
  <c r="E31" i="6"/>
  <c r="E26" i="6"/>
  <c r="E20" i="6"/>
  <c r="F27" i="6"/>
  <c r="G25" i="6"/>
  <c r="E25" i="6"/>
  <c r="D18" i="6"/>
  <c r="G18" i="6"/>
  <c r="E27" i="6"/>
  <c r="E22" i="6"/>
  <c r="G28" i="6"/>
  <c r="F28" i="6"/>
  <c r="D27" i="6"/>
  <c r="D25" i="6"/>
  <c r="E21" i="6"/>
  <c r="E28" i="6"/>
  <c r="E23" i="6"/>
  <c r="F29" i="6"/>
  <c r="E32" i="6"/>
  <c r="D32" i="6"/>
  <c r="K38" i="3" l="1"/>
  <c r="F33" i="6"/>
  <c r="E33" i="6"/>
  <c r="D33" i="6"/>
  <c r="G33" i="6"/>
  <c r="K21" i="3"/>
  <c r="K26" i="3" s="1"/>
  <c r="E10" i="3"/>
  <c r="J23" i="3"/>
  <c r="J32" i="3"/>
  <c r="K30" i="3" s="1"/>
  <c r="K45" i="3" s="1"/>
  <c r="K47" i="3" l="1"/>
</calcChain>
</file>

<file path=xl/sharedStrings.xml><?xml version="1.0" encoding="utf-8"?>
<sst xmlns="http://schemas.openxmlformats.org/spreadsheetml/2006/main" count="330" uniqueCount="175">
  <si>
    <t>Lewis County Industrial Development Agency</t>
  </si>
  <si>
    <t>Project Cost-Benefit Analysis</t>
  </si>
  <si>
    <t>Cost to Community</t>
  </si>
  <si>
    <t>Benefits to the Community</t>
  </si>
  <si>
    <t># of jobs created</t>
  </si>
  <si>
    <t>Expected annual salary</t>
  </si>
  <si>
    <t>Benefit period in Years:</t>
  </si>
  <si>
    <t>Fee payment to LCIDA</t>
  </si>
  <si>
    <t>Property taxes received with PILOT</t>
  </si>
  <si>
    <t>Project duration in years</t>
  </si>
  <si>
    <t>Estimated benefits provided/Tax Revenue Not Received by the Community</t>
  </si>
  <si>
    <t>Sales Taxes Forgiven</t>
  </si>
  <si>
    <t>Estimated Property Taxes forgiven</t>
  </si>
  <si>
    <t>Estimated Community Benefit Received</t>
  </si>
  <si>
    <t>Property taxes received that would not have been generated without project</t>
  </si>
  <si>
    <t>Salaries Generated From Temporary/Construction Jobs</t>
  </si>
  <si>
    <t>Benefit minus Cost Differential</t>
  </si>
  <si>
    <t># of jobs created (FTE)</t>
  </si>
  <si>
    <t>Notes</t>
  </si>
  <si>
    <t>Full Property Taxes for proposed project (over benefit period)</t>
  </si>
  <si>
    <t>Property taxes received without the project</t>
  </si>
  <si>
    <t>Based on 1% project value</t>
  </si>
  <si>
    <t>Salaries resulting from new permanent employment (over benefit period)</t>
  </si>
  <si>
    <t>Lodging &amp; Dining</t>
  </si>
  <si>
    <t>Payment in lieu of Taxes for proposed project (over benefit Period)</t>
  </si>
  <si>
    <t>Exemption Schedules</t>
  </si>
  <si>
    <t>Year</t>
  </si>
  <si>
    <t>Schedule A: Targeted Industries/Manufacturing</t>
  </si>
  <si>
    <t>Schedule B: Commercial/Retail/Office/Community Facilities/Not-for-Profits</t>
  </si>
  <si>
    <t>Abatement</t>
  </si>
  <si>
    <t>Exemption Schedule:</t>
  </si>
  <si>
    <t>A</t>
  </si>
  <si>
    <t>Current Assessed Value:</t>
  </si>
  <si>
    <t>Current County/Town Tax Rate ($/1000)</t>
  </si>
  <si>
    <t>Current School Tax Rate ($/1000)</t>
  </si>
  <si>
    <t>Current Village Tax Rate ($/1000)</t>
  </si>
  <si>
    <t>Mortgage Recording Tax Forgiven</t>
  </si>
  <si>
    <t>Total Project Cost</t>
  </si>
  <si>
    <t>&lt;draft&gt;</t>
  </si>
  <si>
    <t>Project Stats</t>
  </si>
  <si>
    <t>Taxing Entity</t>
  </si>
  <si>
    <t>Tax Rate</t>
  </si>
  <si>
    <t>Allocation</t>
  </si>
  <si>
    <t>Lewis County</t>
  </si>
  <si>
    <t>Total PILOT</t>
  </si>
  <si>
    <t>Taxing Entity breakdown</t>
  </si>
  <si>
    <t>County</t>
  </si>
  <si>
    <t>Town</t>
  </si>
  <si>
    <t>School</t>
  </si>
  <si>
    <t>Notes:</t>
  </si>
  <si>
    <t>2.  Special District tax is not exempt, revenue will increase with PILOT</t>
  </si>
  <si>
    <t>Village</t>
  </si>
  <si>
    <t>16 on</t>
  </si>
  <si>
    <t>Current Assessed Value</t>
  </si>
  <si>
    <t>Projected Assessment</t>
  </si>
  <si>
    <t>Schedule</t>
  </si>
  <si>
    <t>Anticipated Assessed Value:</t>
  </si>
  <si>
    <t>LACS</t>
  </si>
  <si>
    <t>Based on $50/day, 4 days per week for 0% of workers</t>
  </si>
  <si>
    <t>Tug Hill Roasters - Old Jail Project</t>
  </si>
  <si>
    <t>Town of Lowville</t>
  </si>
  <si>
    <t>Village of Lowville</t>
  </si>
  <si>
    <t>Totals:</t>
  </si>
  <si>
    <t>1.  This model based on 2021 tax rates, the PILOT would adjust each year to current tax rates</t>
  </si>
  <si>
    <t>Total per 1000</t>
  </si>
  <si>
    <t>Increase in Assessed Value:</t>
  </si>
  <si>
    <t>NYS Required Evaluation Criteria</t>
  </si>
  <si>
    <t>1. Extent to which the project will create or retain permanent jobs</t>
  </si>
  <si>
    <t>2. Estimated value of tax exemptions</t>
  </si>
  <si>
    <t>3. Amount of private sector investment</t>
  </si>
  <si>
    <t>4. Likelihood of project being accomplished in a timely fashion</t>
  </si>
  <si>
    <t>5. Extent of new revenue provided to local taxing jurisdictions</t>
  </si>
  <si>
    <t>6. Any other misc public benefits</t>
  </si>
  <si>
    <t>Sales Tax Applicable Project Costs</t>
  </si>
  <si>
    <t>Predicted Mortgage Amount</t>
  </si>
  <si>
    <t>This is a guess based on current assessment and project costs</t>
  </si>
  <si>
    <t>Exhibit A</t>
  </si>
  <si>
    <t>Material Terms</t>
  </si>
  <si>
    <t>1. Create or Retain Jobs</t>
  </si>
  <si>
    <t>2. Private Sector Investment</t>
  </si>
  <si>
    <t>5. Community Benefit</t>
  </si>
  <si>
    <t>3. Local Labor Construction</t>
  </si>
  <si>
    <t>4. Wage Rates above Median Wage for Area</t>
  </si>
  <si>
    <t>Manufacturing, Warehouse, Distribution</t>
  </si>
  <si>
    <t>Agricultural, Food Processing</t>
  </si>
  <si>
    <t>Adaptive Reuse, Community Development</t>
  </si>
  <si>
    <t>4. Increased Property Value</t>
  </si>
  <si>
    <t>5. Increased Revenue to Local Taxing Jurisdictions</t>
  </si>
  <si>
    <t>6. Community Benefit</t>
  </si>
  <si>
    <t>1. Private Sector Investment</t>
  </si>
  <si>
    <t>2. Create or Retain Jobs</t>
  </si>
  <si>
    <t>Tourism</t>
  </si>
  <si>
    <t>4. Regional Wealth Creation (%Sales/Customers Outside Area)</t>
  </si>
  <si>
    <t>Retail</t>
  </si>
  <si>
    <t>Back Office, Data, Call Centers</t>
  </si>
  <si>
    <t>Energy Production</t>
  </si>
  <si>
    <t>Market Rate Senior Housing</t>
  </si>
  <si>
    <t>Commercial Housing</t>
  </si>
  <si>
    <t>4. Senior Residents at or Below Median Income for Community</t>
  </si>
  <si>
    <t>4. Community Benefit</t>
  </si>
  <si>
    <t>Evaluative Criteria</t>
  </si>
  <si>
    <t>1. Wage Rates (above Median Wage for Area)</t>
  </si>
  <si>
    <t>2. Regional Wealth Creation (%Sales/Customers Outside Area)</t>
  </si>
  <si>
    <t>3. In Region Purchases (% of overall Purchases)</t>
  </si>
  <si>
    <t>4. Research and Development Activities</t>
  </si>
  <si>
    <t>5. Investments in Energy Efficiency</t>
  </si>
  <si>
    <t>6. Locational Land Use Factors, Brownfields or Locally Designated Development Areas</t>
  </si>
  <si>
    <t>7. LEED/Renewable Resources</t>
  </si>
  <si>
    <t>8. Retention/Flight Risk</t>
  </si>
  <si>
    <t>4. Supports Local Business or Cluster</t>
  </si>
  <si>
    <t>5. Retention/Flight Risk</t>
  </si>
  <si>
    <t>6. LEED/Renewable Resources</t>
  </si>
  <si>
    <t>Project Type:</t>
  </si>
  <si>
    <t>1. Market Study (Document Demand and Impact on Existing Operators)</t>
  </si>
  <si>
    <r>
      <t xml:space="preserve">2. </t>
    </r>
    <r>
      <rPr>
        <sz val="11"/>
        <color theme="1"/>
        <rFont val="Calibri"/>
        <family val="2"/>
      </rPr>
      <t xml:space="preserve">Regional Wealth Creation </t>
    </r>
  </si>
  <si>
    <r>
      <t xml:space="preserve">3. </t>
    </r>
    <r>
      <rPr>
        <sz val="11"/>
        <color theme="1"/>
        <rFont val="Calibri"/>
        <family val="2"/>
      </rPr>
      <t>Proximity/Support of Regional Tourism Attractions/Facilities</t>
    </r>
  </si>
  <si>
    <r>
      <t xml:space="preserve">4. </t>
    </r>
    <r>
      <rPr>
        <sz val="11"/>
        <color theme="1"/>
        <rFont val="Calibri"/>
        <family val="2"/>
      </rPr>
      <t>Local Official(s), Convention Visitors Bureau Support</t>
    </r>
  </si>
  <si>
    <r>
      <t xml:space="preserve">5. </t>
    </r>
    <r>
      <rPr>
        <sz val="11"/>
        <color theme="1"/>
        <rFont val="Calibri"/>
        <family val="2"/>
      </rPr>
      <t>In Region Purchases, Support of Local Vendors</t>
    </r>
  </si>
  <si>
    <r>
      <t xml:space="preserve">6. </t>
    </r>
    <r>
      <rPr>
        <sz val="11"/>
        <color theme="1"/>
        <rFont val="Calibri"/>
        <family val="2"/>
      </rPr>
      <t>LEED/Renewable Resources</t>
    </r>
  </si>
  <si>
    <t>7. Generation of Local Revenues (i.e. Hotel Bed Taxes)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</si>
  <si>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Distressed Census Tracts</t>
    </r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</si>
  <si>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Age of Structure</t>
    </r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</si>
  <si>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Elimination of Slum and Blight</t>
    </r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</si>
  <si>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Building or Facility Vacancy</t>
    </r>
  </si>
  <si>
    <r>
      <t>5.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Redevelopment Supports Local Community Development Plan</t>
    </r>
  </si>
  <si>
    <r>
      <t>6.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 xml:space="preserve">Environmental or Safety Issues </t>
    </r>
  </si>
  <si>
    <r>
      <t>7.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LEED/Renewable Resources</t>
    </r>
  </si>
  <si>
    <r>
      <t>8.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Building or site has Historic designation</t>
    </r>
  </si>
  <si>
    <r>
      <t>9.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Site or Structure has delinquent Property or other local Taxes</t>
    </r>
  </si>
  <si>
    <r>
      <t>10.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</rPr>
      <t>Project/Developer’s Return on Investment</t>
    </r>
  </si>
  <si>
    <r>
      <t>11.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</rPr>
      <t>Impediments to Conventionally Finance Project</t>
    </r>
  </si>
  <si>
    <t xml:space="preserve">6. Location of Project (prime vs. Marginal land) </t>
  </si>
  <si>
    <t>2. In Region Purchases (% of Overall Purchases, Local Construction Jobs/Suppliers)</t>
  </si>
  <si>
    <t>3. Advances Renewable Energy Production/Transmission Goals</t>
  </si>
  <si>
    <t>4. Provides Capacity or Transmission to Meet Local Demand or Shortage</t>
  </si>
  <si>
    <r>
      <t>5.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Community Benefit</t>
    </r>
  </si>
  <si>
    <t>1. Market Study/Goods or Services Not Readily Available, Impact on Existing Businesses (Municipal CEO approval)</t>
  </si>
  <si>
    <r>
      <t>2.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Regional Wealth Creation</t>
    </r>
  </si>
  <si>
    <r>
      <t>3.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Highly Distressed Census Tracts</t>
    </r>
  </si>
  <si>
    <r>
      <t>4.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Urban or Town Center Location</t>
    </r>
  </si>
  <si>
    <r>
      <t>5.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Elimination of Slum and Blight</t>
    </r>
  </si>
  <si>
    <r>
      <t>6.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Alignment with Local Planning and Development Efforts</t>
    </r>
  </si>
  <si>
    <r>
      <t>1.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Market Study (Document Need and Impact on Existing Facilities)</t>
    </r>
  </si>
  <si>
    <r>
      <t>2.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Highly Distressed Census Tract</t>
    </r>
  </si>
  <si>
    <r>
      <t>3.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Alignment with Local Planning and Development Efforts</t>
    </r>
  </si>
  <si>
    <r>
      <t>4.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Urban, Town/Village Center Location</t>
    </r>
  </si>
  <si>
    <r>
      <t>5.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Local Official(s) Support</t>
    </r>
  </si>
  <si>
    <r>
      <t>6.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Located in Areas that Serve Below Median Income Seniors</t>
    </r>
  </si>
  <si>
    <r>
      <t>7.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Facility Promotes Walkable Community Areas</t>
    </r>
  </si>
  <si>
    <r>
      <t>8.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Review of Project/Developer’s Return on Investment</t>
    </r>
  </si>
  <si>
    <r>
      <t>9.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Ability to Conventionally Finance</t>
    </r>
  </si>
  <si>
    <t>10. Provides Specific Senior Amenities (Community Rooms, Health Services etc.)</t>
  </si>
  <si>
    <r>
      <t>11.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Senior Residents at or Below Median Income for Community</t>
    </r>
  </si>
  <si>
    <r>
      <t>1.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Market Study (Document Unmet Need and Impact on Existing Facilities)</t>
    </r>
  </si>
  <si>
    <r>
      <t>2.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Highly Distressed Census Tracts</t>
    </r>
  </si>
  <si>
    <r>
      <t>3.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Alignment with Local Planning and Development Efforts</t>
    </r>
  </si>
  <si>
    <r>
      <t>4.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Urban or Town/Village Center Location</t>
    </r>
  </si>
  <si>
    <r>
      <t>5.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Local Official(s) Support</t>
    </r>
  </si>
  <si>
    <r>
      <t>6.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Located in Areas that have Inadequate Housing Supply</t>
    </r>
  </si>
  <si>
    <r>
      <t>7.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Facility Promotes Transit Oriented or Walkable Community Areas</t>
    </r>
  </si>
  <si>
    <r>
      <t>9.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Impediments to Ability to Conventionally Finance Project</t>
    </r>
  </si>
  <si>
    <t>Response</t>
  </si>
  <si>
    <t>Universal Project Evaluation Policy - Evaluation Criteria</t>
  </si>
  <si>
    <t xml:space="preserve"> </t>
  </si>
  <si>
    <t>We are considering this under Schedule A because lodging is high priority for Lewis County.</t>
  </si>
  <si>
    <t>Turin</t>
  </si>
  <si>
    <t>South Lewis</t>
  </si>
  <si>
    <t>Based on $20/hr</t>
  </si>
  <si>
    <r>
      <rPr>
        <sz val="12"/>
        <color theme="1"/>
        <rFont val="Calibri"/>
        <family val="2"/>
        <scheme val="minor"/>
      </rPr>
      <t xml:space="preserve">Project Name: </t>
    </r>
    <r>
      <rPr>
        <b/>
        <sz val="12"/>
        <color theme="1"/>
        <rFont val="Calibri"/>
        <family val="2"/>
        <scheme val="minor"/>
      </rPr>
      <t>Turin Highland Lodge</t>
    </r>
  </si>
  <si>
    <r>
      <rPr>
        <sz val="12"/>
        <color theme="1"/>
        <rFont val="Calibri"/>
        <family val="2"/>
        <scheme val="minor"/>
      </rPr>
      <t>Project Timeframe:</t>
    </r>
    <r>
      <rPr>
        <b/>
        <sz val="12"/>
        <color theme="1"/>
        <rFont val="Calibri"/>
        <family val="2"/>
        <scheme val="minor"/>
      </rPr>
      <t xml:space="preserve">  March -December 2023</t>
    </r>
  </si>
  <si>
    <t>moderate</t>
  </si>
  <si>
    <t>captured above</t>
  </si>
  <si>
    <t>supports tourism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</si>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</sst>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  <numFmt numFmtId="166" formatCode="_(* #,##0_);_(* \(#,##0\);_(* &quot;-&quot;??_);_(@_)"/>
    <numFmt numFmtId="167" formatCode="&quot;$&quot;#,##0.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7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0" applyFont="1" applyAlignment="1">
      <alignment horizontal="left" indent="4"/>
    </xf>
    <xf numFmtId="0" fontId="2" fillId="0" borderId="0" xfId="0" applyFont="1" applyAlignment="1">
      <alignment horizontal="left" indent="4"/>
    </xf>
    <xf numFmtId="0" fontId="1" fillId="0" borderId="0" xfId="0" applyFont="1"/>
    <xf numFmtId="0" fontId="5" fillId="0" borderId="0" xfId="0" applyFont="1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 applyAlignment="1">
      <alignment horizontal="left" indent="4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43" fontId="0" fillId="0" borderId="0" xfId="1" applyFont="1" applyFill="1"/>
    <xf numFmtId="2" fontId="0" fillId="0" borderId="0" xfId="0" applyNumberFormat="1"/>
    <xf numFmtId="0" fontId="8" fillId="0" borderId="0" xfId="0" applyFont="1"/>
    <xf numFmtId="0" fontId="6" fillId="0" borderId="0" xfId="0" applyFont="1"/>
    <xf numFmtId="0" fontId="4" fillId="0" borderId="0" xfId="0" applyFont="1"/>
    <xf numFmtId="0" fontId="3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9" fontId="0" fillId="0" borderId="0" xfId="2" applyFont="1" applyAlignment="1">
      <alignment horizontal="center"/>
    </xf>
    <xf numFmtId="0" fontId="9" fillId="0" borderId="0" xfId="0" applyFont="1" applyAlignment="1">
      <alignment horizontal="center"/>
    </xf>
    <xf numFmtId="164" fontId="0" fillId="0" borderId="0" xfId="0" applyNumberFormat="1" applyAlignment="1">
      <alignment horizontal="left"/>
    </xf>
    <xf numFmtId="164" fontId="1" fillId="2" borderId="0" xfId="0" applyNumberFormat="1" applyFont="1" applyFill="1"/>
    <xf numFmtId="0" fontId="0" fillId="2" borderId="0" xfId="0" applyFill="1"/>
    <xf numFmtId="0" fontId="1" fillId="2" borderId="0" xfId="0" applyFont="1" applyFill="1" applyAlignment="1">
      <alignment horizontal="left"/>
    </xf>
    <xf numFmtId="0" fontId="11" fillId="0" borderId="0" xfId="0" applyFont="1"/>
    <xf numFmtId="0" fontId="12" fillId="0" borderId="0" xfId="0" applyFont="1"/>
    <xf numFmtId="0" fontId="1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8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right"/>
    </xf>
    <xf numFmtId="5" fontId="8" fillId="3" borderId="4" xfId="3" applyNumberFormat="1" applyFont="1" applyFill="1" applyBorder="1" applyAlignment="1">
      <alignment horizontal="center"/>
    </xf>
    <xf numFmtId="0" fontId="8" fillId="3" borderId="5" xfId="0" applyFont="1" applyFill="1" applyBorder="1" applyAlignment="1">
      <alignment horizontal="left"/>
    </xf>
    <xf numFmtId="0" fontId="1" fillId="3" borderId="0" xfId="0" applyFont="1" applyFill="1" applyAlignment="1">
      <alignment horizontal="right"/>
    </xf>
    <xf numFmtId="10" fontId="8" fillId="3" borderId="6" xfId="2" applyNumberFormat="1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left"/>
    </xf>
    <xf numFmtId="0" fontId="1" fillId="3" borderId="8" xfId="0" applyFont="1" applyFill="1" applyBorder="1" applyAlignment="1">
      <alignment horizontal="right"/>
    </xf>
    <xf numFmtId="0" fontId="8" fillId="3" borderId="9" xfId="0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right"/>
    </xf>
    <xf numFmtId="0" fontId="12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right"/>
    </xf>
    <xf numFmtId="0" fontId="1" fillId="4" borderId="3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left"/>
    </xf>
    <xf numFmtId="0" fontId="1" fillId="4" borderId="0" xfId="0" applyFont="1" applyFill="1" applyAlignment="1">
      <alignment horizontal="right"/>
    </xf>
    <xf numFmtId="0" fontId="0" fillId="4" borderId="0" xfId="0" applyFill="1" applyAlignment="1">
      <alignment horizontal="center"/>
    </xf>
    <xf numFmtId="165" fontId="8" fillId="4" borderId="6" xfId="2" applyNumberFormat="1" applyFont="1" applyFill="1" applyBorder="1" applyAlignment="1">
      <alignment horizontal="center"/>
    </xf>
    <xf numFmtId="0" fontId="8" fillId="4" borderId="7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right"/>
    </xf>
    <xf numFmtId="0" fontId="0" fillId="4" borderId="8" xfId="0" applyFill="1" applyBorder="1" applyAlignment="1">
      <alignment horizontal="center"/>
    </xf>
    <xf numFmtId="165" fontId="8" fillId="4" borderId="9" xfId="2" applyNumberFormat="1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3" fontId="0" fillId="3" borderId="16" xfId="0" applyNumberForma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166" fontId="0" fillId="0" borderId="0" xfId="0" applyNumberFormat="1"/>
    <xf numFmtId="3" fontId="0" fillId="0" borderId="0" xfId="0" applyNumberFormat="1"/>
    <xf numFmtId="166" fontId="0" fillId="0" borderId="0" xfId="1" applyNumberFormat="1" applyFont="1" applyFill="1"/>
    <xf numFmtId="1" fontId="0" fillId="0" borderId="0" xfId="0" applyNumberFormat="1" applyAlignment="1">
      <alignment horizontal="left"/>
    </xf>
    <xf numFmtId="0" fontId="10" fillId="0" borderId="0" xfId="0" applyFont="1"/>
    <xf numFmtId="0" fontId="1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0" fontId="8" fillId="0" borderId="0" xfId="0" applyNumberFormat="1" applyFont="1"/>
    <xf numFmtId="0" fontId="1" fillId="0" borderId="0" xfId="0" applyFont="1" applyAlignment="1">
      <alignment horizontal="center"/>
    </xf>
    <xf numFmtId="164" fontId="0" fillId="3" borderId="0" xfId="0" applyNumberFormat="1" applyFill="1"/>
    <xf numFmtId="9" fontId="0" fillId="0" borderId="0" xfId="2" applyFont="1" applyBorder="1" applyAlignment="1">
      <alignment horizontal="center"/>
    </xf>
    <xf numFmtId="3" fontId="0" fillId="3" borderId="14" xfId="0" applyNumberFormat="1" applyFill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3" fontId="1" fillId="0" borderId="5" xfId="0" applyNumberFormat="1" applyFont="1" applyBorder="1" applyAlignment="1">
      <alignment horizontal="center"/>
    </xf>
    <xf numFmtId="0" fontId="0" fillId="0" borderId="8" xfId="0" applyBorder="1"/>
    <xf numFmtId="167" fontId="0" fillId="0" borderId="0" xfId="0" applyNumberFormat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/>
    <xf numFmtId="164" fontId="8" fillId="0" borderId="0" xfId="0" applyNumberFormat="1" applyFon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 wrapText="1"/>
    </xf>
    <xf numFmtId="0" fontId="1" fillId="3" borderId="13" xfId="0" applyFont="1" applyFill="1" applyBorder="1" applyAlignment="1">
      <alignment horizontal="center" wrapText="1"/>
    </xf>
    <xf numFmtId="0" fontId="0" fillId="0" borderId="0" xfId="0" applyAlignment="1"/>
    <xf numFmtId="0" fontId="2" fillId="0" borderId="0" xfId="0" applyFont="1" applyAlignment="1"/>
    <xf numFmtId="0" fontId="0" fillId="0" borderId="0" xfId="0" applyFill="1" applyAlignment="1"/>
    <xf numFmtId="164" fontId="0" fillId="0" borderId="0" xfId="0" applyNumberFormat="1" applyFill="1" applyAlignment="1"/>
    <xf numFmtId="9" fontId="0" fillId="0" borderId="0" xfId="2" applyFont="1" applyFill="1" applyAlignment="1"/>
    <xf numFmtId="9" fontId="0" fillId="0" borderId="0" xfId="2" applyFont="1" applyFill="1" applyAlignment="1">
      <alignment horizontal="right"/>
    </xf>
    <xf numFmtId="0" fontId="0" fillId="0" borderId="0" xfId="0" applyFill="1" applyAlignment="1">
      <alignment horizontal="right"/>
    </xf>
    <xf numFmtId="164" fontId="0" fillId="0" borderId="0" xfId="0" applyNumberFormat="1" applyFill="1" applyAlignment="1">
      <alignment horizontal="right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81"/>
  <sheetViews>
    <sheetView tabSelected="1" workbookViewId="0">
      <selection activeCell="G74" sqref="G74"/>
    </sheetView>
  </sheetViews>
  <sheetFormatPr defaultRowHeight="14.5" x14ac:dyDescent="0.35"/>
  <cols>
    <col min="1" max="1" width="10.7265625" bestFit="1" customWidth="1"/>
    <col min="4" max="4" width="10.81640625" bestFit="1" customWidth="1"/>
    <col min="5" max="5" width="10" bestFit="1" customWidth="1"/>
    <col min="8" max="8" width="9.7265625" bestFit="1" customWidth="1"/>
    <col min="9" max="9" width="2.7265625" customWidth="1"/>
    <col min="10" max="10" width="10.81640625" bestFit="1" customWidth="1"/>
    <col min="11" max="11" width="13.7265625" customWidth="1"/>
    <col min="12" max="12" width="64.26953125" customWidth="1"/>
  </cols>
  <sheetData>
    <row r="1" spans="1:13" ht="21" x14ac:dyDescent="0.5">
      <c r="A1" s="18" t="s">
        <v>163</v>
      </c>
      <c r="B1" s="15"/>
      <c r="C1" s="80" t="s">
        <v>0</v>
      </c>
      <c r="D1" s="80"/>
      <c r="E1" s="80"/>
      <c r="F1" s="80"/>
      <c r="G1" s="80"/>
      <c r="H1" s="80"/>
      <c r="I1" s="80"/>
      <c r="J1" s="80"/>
      <c r="K1" s="80"/>
      <c r="L1" s="80"/>
    </row>
    <row r="2" spans="1:13" ht="18.5" x14ac:dyDescent="0.45">
      <c r="A2" s="19">
        <v>44789</v>
      </c>
      <c r="B2" s="16"/>
      <c r="C2" s="81" t="s">
        <v>1</v>
      </c>
      <c r="D2" s="81"/>
      <c r="E2" s="81"/>
      <c r="F2" s="81"/>
      <c r="G2" s="81"/>
      <c r="H2" s="81"/>
      <c r="I2" s="81"/>
      <c r="J2" s="81"/>
      <c r="K2" s="81"/>
      <c r="L2" s="81"/>
    </row>
    <row r="3" spans="1:13" ht="15.5" x14ac:dyDescent="0.35">
      <c r="B3" s="17"/>
      <c r="C3" s="82" t="s">
        <v>168</v>
      </c>
      <c r="D3" s="82"/>
      <c r="E3" s="82"/>
      <c r="F3" s="82"/>
      <c r="G3" s="82"/>
      <c r="H3" s="82"/>
      <c r="I3" s="82"/>
      <c r="J3" s="82"/>
      <c r="K3" s="82"/>
      <c r="L3" s="82"/>
    </row>
    <row r="4" spans="1:13" ht="15.5" x14ac:dyDescent="0.35">
      <c r="B4" s="17"/>
      <c r="C4" s="82" t="s">
        <v>169</v>
      </c>
      <c r="D4" s="82"/>
      <c r="E4" s="82"/>
      <c r="F4" s="82"/>
      <c r="G4" s="82"/>
      <c r="H4" s="82"/>
      <c r="I4" s="82"/>
      <c r="J4" s="82"/>
      <c r="K4" s="82"/>
      <c r="L4" s="82"/>
    </row>
    <row r="6" spans="1:13" ht="15" customHeight="1" x14ac:dyDescent="0.35">
      <c r="A6" s="3" t="s">
        <v>30</v>
      </c>
      <c r="E6" s="22" t="s">
        <v>31</v>
      </c>
      <c r="G6" s="83" t="s">
        <v>164</v>
      </c>
      <c r="H6" s="83"/>
      <c r="I6" s="83"/>
      <c r="J6" s="83"/>
      <c r="K6" s="83"/>
      <c r="L6" s="83"/>
    </row>
    <row r="7" spans="1:13" x14ac:dyDescent="0.35">
      <c r="A7" s="3" t="s">
        <v>6</v>
      </c>
      <c r="E7" s="18">
        <v>15</v>
      </c>
      <c r="G7" s="83"/>
      <c r="H7" s="83"/>
      <c r="I7" s="83"/>
      <c r="J7" s="83"/>
      <c r="K7" s="83"/>
      <c r="L7" s="83"/>
    </row>
    <row r="8" spans="1:13" x14ac:dyDescent="0.35">
      <c r="A8" s="3" t="s">
        <v>32</v>
      </c>
      <c r="E8" s="5">
        <v>107600</v>
      </c>
    </row>
    <row r="9" spans="1:13" x14ac:dyDescent="0.35">
      <c r="A9" s="3" t="s">
        <v>56</v>
      </c>
      <c r="E9" s="5">
        <v>750000</v>
      </c>
      <c r="G9" t="s">
        <v>75</v>
      </c>
    </row>
    <row r="10" spans="1:13" x14ac:dyDescent="0.35">
      <c r="A10" s="3" t="s">
        <v>65</v>
      </c>
      <c r="E10" s="5">
        <f>E9-E8</f>
        <v>642400</v>
      </c>
    </row>
    <row r="11" spans="1:13" x14ac:dyDescent="0.35">
      <c r="A11" s="3" t="s">
        <v>33</v>
      </c>
      <c r="E11">
        <f>7.539444+6.247506</f>
        <v>13.786949999999999</v>
      </c>
      <c r="F11" t="s">
        <v>165</v>
      </c>
    </row>
    <row r="12" spans="1:13" x14ac:dyDescent="0.35">
      <c r="A12" s="3" t="s">
        <v>34</v>
      </c>
      <c r="E12">
        <v>12.659279</v>
      </c>
      <c r="F12" t="s">
        <v>166</v>
      </c>
    </row>
    <row r="13" spans="1:13" x14ac:dyDescent="0.35">
      <c r="A13" s="3" t="s">
        <v>35</v>
      </c>
      <c r="E13" s="74">
        <v>6.1848080000000003</v>
      </c>
      <c r="F13" t="s">
        <v>165</v>
      </c>
    </row>
    <row r="14" spans="1:13" x14ac:dyDescent="0.35">
      <c r="A14" s="3"/>
      <c r="E14">
        <f>SUM(E11:E13)</f>
        <v>32.631036999999999</v>
      </c>
      <c r="F14" t="s">
        <v>64</v>
      </c>
      <c r="J14" s="75"/>
      <c r="M14" s="5"/>
    </row>
    <row r="15" spans="1:13" x14ac:dyDescent="0.35">
      <c r="A15" s="3" t="s">
        <v>37</v>
      </c>
      <c r="E15" s="5">
        <v>620000</v>
      </c>
    </row>
    <row r="16" spans="1:13" x14ac:dyDescent="0.35">
      <c r="A16" s="3" t="s">
        <v>73</v>
      </c>
      <c r="E16" s="5">
        <v>620000</v>
      </c>
    </row>
    <row r="17" spans="1:12" x14ac:dyDescent="0.35">
      <c r="A17" s="3" t="s">
        <v>74</v>
      </c>
      <c r="E17" s="5">
        <v>600000</v>
      </c>
    </row>
    <row r="18" spans="1:12" x14ac:dyDescent="0.35">
      <c r="D18" s="5"/>
    </row>
    <row r="19" spans="1:12" ht="18.5" x14ac:dyDescent="0.45">
      <c r="A19" s="4" t="s">
        <v>2</v>
      </c>
      <c r="L19" s="4" t="s">
        <v>18</v>
      </c>
    </row>
    <row r="21" spans="1:12" x14ac:dyDescent="0.35">
      <c r="A21" s="1" t="s">
        <v>12</v>
      </c>
      <c r="K21" s="5">
        <f>J22-J23</f>
        <v>162587.40495619999</v>
      </c>
    </row>
    <row r="22" spans="1:12" x14ac:dyDescent="0.35">
      <c r="B22" t="s">
        <v>19</v>
      </c>
      <c r="J22" s="5">
        <f>E8*(E11+E12+E13)/1000+(E7-1)*E9*(E11+E12+E13)/1000</f>
        <v>346136.98808119999</v>
      </c>
    </row>
    <row r="23" spans="1:12" x14ac:dyDescent="0.35">
      <c r="B23" t="s">
        <v>24</v>
      </c>
      <c r="J23" s="5">
        <f>5*0.25*E9*(E11+E12+E13)/1000+5*0.5*E9*(E11+E12+E13)/1000+5*0.75*E9*(E11+E12+E13)/1000</f>
        <v>183549.583125</v>
      </c>
    </row>
    <row r="24" spans="1:12" x14ac:dyDescent="0.35">
      <c r="A24" s="1" t="s">
        <v>11</v>
      </c>
      <c r="K24" s="5">
        <f>E16*0.08</f>
        <v>49600</v>
      </c>
    </row>
    <row r="25" spans="1:12" ht="15" thickBot="1" x14ac:dyDescent="0.4">
      <c r="A25" s="8" t="s">
        <v>36</v>
      </c>
      <c r="B25" s="6"/>
      <c r="C25" s="6"/>
      <c r="D25" s="6"/>
      <c r="E25" s="6"/>
      <c r="F25" s="6"/>
      <c r="G25" s="6"/>
      <c r="H25" s="6"/>
      <c r="I25" s="6"/>
      <c r="J25" s="6"/>
      <c r="K25" s="7">
        <f>E17*0.0075</f>
        <v>4500</v>
      </c>
      <c r="L25" s="6"/>
    </row>
    <row r="26" spans="1:12" ht="15" thickTop="1" x14ac:dyDescent="0.35">
      <c r="B26" s="3" t="s">
        <v>10</v>
      </c>
      <c r="K26" s="5">
        <f>K21+K24+K25</f>
        <v>216687.40495619999</v>
      </c>
    </row>
    <row r="28" spans="1:12" ht="18.5" x14ac:dyDescent="0.45">
      <c r="A28" s="4" t="s">
        <v>3</v>
      </c>
      <c r="L28" s="4" t="s">
        <v>18</v>
      </c>
    </row>
    <row r="30" spans="1:12" x14ac:dyDescent="0.35">
      <c r="A30" s="1" t="s">
        <v>14</v>
      </c>
      <c r="K30" s="5">
        <f>(J32-J31)</f>
        <v>130883.08940700001</v>
      </c>
    </row>
    <row r="31" spans="1:12" x14ac:dyDescent="0.35">
      <c r="A31" s="2"/>
      <c r="B31" t="s">
        <v>20</v>
      </c>
      <c r="J31" s="5">
        <f>E8*(E11+E12+E13)/1000*E7</f>
        <v>52666.493717999998</v>
      </c>
    </row>
    <row r="32" spans="1:12" x14ac:dyDescent="0.35">
      <c r="A32" s="2"/>
      <c r="B32" t="s">
        <v>8</v>
      </c>
      <c r="J32" s="5">
        <f>J23</f>
        <v>183549.583125</v>
      </c>
    </row>
    <row r="33" spans="1:12" x14ac:dyDescent="0.35">
      <c r="A33" s="2"/>
      <c r="J33" s="12"/>
    </row>
    <row r="34" spans="1:12" x14ac:dyDescent="0.35">
      <c r="A34" s="1" t="s">
        <v>22</v>
      </c>
      <c r="K34" s="5">
        <f>J36*J35*E7-J36*1</f>
        <v>1158666.6666666667</v>
      </c>
    </row>
    <row r="35" spans="1:12" x14ac:dyDescent="0.35">
      <c r="B35" t="s">
        <v>4</v>
      </c>
      <c r="J35">
        <v>3</v>
      </c>
    </row>
    <row r="36" spans="1:12" x14ac:dyDescent="0.35">
      <c r="B36" t="s">
        <v>5</v>
      </c>
      <c r="J36" s="5">
        <f>(20000+20000+39000)/3</f>
        <v>26333.333333333332</v>
      </c>
      <c r="L36" s="79"/>
    </row>
    <row r="37" spans="1:12" x14ac:dyDescent="0.35">
      <c r="J37" s="13"/>
    </row>
    <row r="38" spans="1:12" x14ac:dyDescent="0.35">
      <c r="A38" s="1" t="s">
        <v>15</v>
      </c>
      <c r="K38" s="5">
        <f>J39*J40*J42+(J39*0.1)*J41*J42</f>
        <v>156000</v>
      </c>
    </row>
    <row r="39" spans="1:12" x14ac:dyDescent="0.35">
      <c r="B39" t="s">
        <v>17</v>
      </c>
      <c r="J39">
        <v>5</v>
      </c>
    </row>
    <row r="40" spans="1:12" x14ac:dyDescent="0.35">
      <c r="B40" t="s">
        <v>5</v>
      </c>
      <c r="J40" s="5">
        <f>20*40*52</f>
        <v>41600</v>
      </c>
      <c r="L40" s="14" t="s">
        <v>167</v>
      </c>
    </row>
    <row r="41" spans="1:12" x14ac:dyDescent="0.35">
      <c r="B41" t="s">
        <v>23</v>
      </c>
      <c r="J41" s="5">
        <v>0</v>
      </c>
      <c r="L41" s="14" t="s">
        <v>58</v>
      </c>
    </row>
    <row r="42" spans="1:12" x14ac:dyDescent="0.35">
      <c r="B42" t="s">
        <v>9</v>
      </c>
      <c r="J42">
        <v>0.75</v>
      </c>
    </row>
    <row r="43" spans="1:12" x14ac:dyDescent="0.35">
      <c r="A43" s="1"/>
      <c r="J43" s="10"/>
      <c r="K43" s="5"/>
    </row>
    <row r="44" spans="1:12" ht="15" thickBot="1" x14ac:dyDescent="0.4">
      <c r="A44" s="8" t="s">
        <v>7</v>
      </c>
      <c r="B44" s="6"/>
      <c r="C44" s="6"/>
      <c r="D44" s="6"/>
      <c r="E44" s="6"/>
      <c r="F44" s="6"/>
      <c r="G44" s="6"/>
      <c r="H44" s="6"/>
      <c r="I44" s="6"/>
      <c r="J44" s="6"/>
      <c r="K44" s="7">
        <f>E15*0.01</f>
        <v>6200</v>
      </c>
      <c r="L44" s="6" t="s">
        <v>21</v>
      </c>
    </row>
    <row r="45" spans="1:12" ht="15" thickTop="1" x14ac:dyDescent="0.35">
      <c r="A45" s="1"/>
      <c r="B45" s="11" t="s">
        <v>13</v>
      </c>
      <c r="K45" s="5">
        <f>SUM(K30:K44)</f>
        <v>1451749.7560736667</v>
      </c>
    </row>
    <row r="46" spans="1:12" x14ac:dyDescent="0.35">
      <c r="A46" s="1"/>
      <c r="K46" s="5"/>
    </row>
    <row r="47" spans="1:12" ht="15.75" customHeight="1" x14ac:dyDescent="0.35">
      <c r="A47" s="24"/>
      <c r="B47" s="25" t="s">
        <v>16</v>
      </c>
      <c r="C47" s="24"/>
      <c r="D47" s="24"/>
      <c r="E47" s="24"/>
      <c r="F47" s="24"/>
      <c r="G47" s="24"/>
      <c r="H47" s="24"/>
      <c r="I47" s="24"/>
      <c r="J47" s="24"/>
      <c r="K47" s="23">
        <f>K45-K26</f>
        <v>1235062.3511174668</v>
      </c>
      <c r="L47" s="24"/>
    </row>
    <row r="50" spans="1:9" ht="18.5" x14ac:dyDescent="0.45">
      <c r="A50" s="16" t="s">
        <v>162</v>
      </c>
    </row>
    <row r="51" spans="1:9" ht="18.5" x14ac:dyDescent="0.45">
      <c r="A51" s="16"/>
    </row>
    <row r="52" spans="1:9" ht="18.5" x14ac:dyDescent="0.45">
      <c r="A52" s="77" t="s">
        <v>91</v>
      </c>
      <c r="B52" s="4"/>
      <c r="C52" s="4"/>
      <c r="D52" s="4"/>
      <c r="E52" s="4"/>
    </row>
    <row r="53" spans="1:9" ht="15.5" x14ac:dyDescent="0.35">
      <c r="A53" s="77"/>
    </row>
    <row r="54" spans="1:9" x14ac:dyDescent="0.35">
      <c r="A54" s="78" t="s">
        <v>66</v>
      </c>
      <c r="H54" s="78" t="s">
        <v>161</v>
      </c>
    </row>
    <row r="55" spans="1:9" x14ac:dyDescent="0.35">
      <c r="A55" t="s">
        <v>67</v>
      </c>
      <c r="H55" s="94" t="s">
        <v>170</v>
      </c>
    </row>
    <row r="56" spans="1:9" x14ac:dyDescent="0.35">
      <c r="A56" t="s">
        <v>68</v>
      </c>
      <c r="H56" s="95">
        <f>K26</f>
        <v>216687.40495619999</v>
      </c>
      <c r="I56" t="s">
        <v>171</v>
      </c>
    </row>
    <row r="57" spans="1:9" x14ac:dyDescent="0.35">
      <c r="A57" t="s">
        <v>69</v>
      </c>
      <c r="H57" s="96">
        <v>0</v>
      </c>
    </row>
    <row r="58" spans="1:9" x14ac:dyDescent="0.35">
      <c r="A58" t="s">
        <v>70</v>
      </c>
      <c r="H58" s="94" t="s">
        <v>170</v>
      </c>
    </row>
    <row r="59" spans="1:9" x14ac:dyDescent="0.35">
      <c r="A59" t="s">
        <v>71</v>
      </c>
      <c r="H59" s="94" t="s">
        <v>170</v>
      </c>
    </row>
    <row r="60" spans="1:9" x14ac:dyDescent="0.35">
      <c r="A60" t="s">
        <v>72</v>
      </c>
      <c r="H60" s="94" t="s">
        <v>172</v>
      </c>
    </row>
    <row r="61" spans="1:9" x14ac:dyDescent="0.35">
      <c r="H61" s="92"/>
    </row>
    <row r="62" spans="1:9" ht="29" x14ac:dyDescent="0.35">
      <c r="A62" s="76" t="s">
        <v>77</v>
      </c>
      <c r="H62" s="93" t="s">
        <v>161</v>
      </c>
    </row>
    <row r="63" spans="1:9" x14ac:dyDescent="0.35">
      <c r="A63" t="s">
        <v>89</v>
      </c>
      <c r="H63" s="97">
        <v>0</v>
      </c>
    </row>
    <row r="64" spans="1:9" x14ac:dyDescent="0.35">
      <c r="A64" t="s">
        <v>90</v>
      </c>
      <c r="H64" s="98" t="s">
        <v>173</v>
      </c>
    </row>
    <row r="65" spans="1:8" x14ac:dyDescent="0.35">
      <c r="A65" t="s">
        <v>81</v>
      </c>
      <c r="H65" s="98" t="s">
        <v>173</v>
      </c>
    </row>
    <row r="66" spans="1:8" x14ac:dyDescent="0.35">
      <c r="A66" t="s">
        <v>92</v>
      </c>
      <c r="H66" s="97">
        <v>1</v>
      </c>
    </row>
    <row r="67" spans="1:8" x14ac:dyDescent="0.35">
      <c r="A67" t="s">
        <v>80</v>
      </c>
      <c r="H67" s="99">
        <f>K45</f>
        <v>1451749.7560736667</v>
      </c>
    </row>
    <row r="68" spans="1:8" x14ac:dyDescent="0.35">
      <c r="H68" s="92"/>
    </row>
    <row r="69" spans="1:8" x14ac:dyDescent="0.35">
      <c r="H69" s="92"/>
    </row>
    <row r="70" spans="1:8" ht="29" x14ac:dyDescent="0.35">
      <c r="A70" s="76" t="s">
        <v>100</v>
      </c>
      <c r="H70" s="93" t="s">
        <v>161</v>
      </c>
    </row>
    <row r="71" spans="1:8" x14ac:dyDescent="0.35">
      <c r="A71" t="s">
        <v>113</v>
      </c>
      <c r="H71" s="98" t="s">
        <v>173</v>
      </c>
    </row>
    <row r="72" spans="1:8" x14ac:dyDescent="0.35">
      <c r="A72" t="s">
        <v>114</v>
      </c>
      <c r="H72" s="97">
        <v>1</v>
      </c>
    </row>
    <row r="73" spans="1:8" x14ac:dyDescent="0.35">
      <c r="A73" t="s">
        <v>115</v>
      </c>
      <c r="H73" s="98" t="s">
        <v>173</v>
      </c>
    </row>
    <row r="74" spans="1:8" x14ac:dyDescent="0.35">
      <c r="A74" t="s">
        <v>116</v>
      </c>
      <c r="H74" s="98" t="s">
        <v>173</v>
      </c>
    </row>
    <row r="75" spans="1:8" x14ac:dyDescent="0.35">
      <c r="A75" t="s">
        <v>117</v>
      </c>
      <c r="H75" s="98" t="s">
        <v>173</v>
      </c>
    </row>
    <row r="76" spans="1:8" x14ac:dyDescent="0.35">
      <c r="A76" t="s">
        <v>118</v>
      </c>
      <c r="H76" s="98" t="s">
        <v>174</v>
      </c>
    </row>
    <row r="77" spans="1:8" x14ac:dyDescent="0.35">
      <c r="A77" t="s">
        <v>119</v>
      </c>
      <c r="H77" s="98" t="s">
        <v>173</v>
      </c>
    </row>
    <row r="78" spans="1:8" x14ac:dyDescent="0.35">
      <c r="H78" s="10"/>
    </row>
    <row r="79" spans="1:8" x14ac:dyDescent="0.35">
      <c r="H79" s="18"/>
    </row>
    <row r="80" spans="1:8" x14ac:dyDescent="0.35">
      <c r="H80" s="18"/>
    </row>
    <row r="81" spans="8:8" x14ac:dyDescent="0.35">
      <c r="H81" s="18"/>
    </row>
  </sheetData>
  <mergeCells count="5">
    <mergeCell ref="C1:L1"/>
    <mergeCell ref="C2:L2"/>
    <mergeCell ref="C3:L3"/>
    <mergeCell ref="G6:L7"/>
    <mergeCell ref="C4:L4"/>
  </mergeCells>
  <pageMargins left="0.25" right="0.25" top="0.75" bottom="0.75" header="0.3" footer="0.3"/>
  <pageSetup scale="56"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1"/>
  <sheetViews>
    <sheetView zoomScale="85" zoomScaleNormal="85" workbookViewId="0">
      <selection activeCell="I32" sqref="I32"/>
    </sheetView>
  </sheetViews>
  <sheetFormatPr defaultRowHeight="14.5" x14ac:dyDescent="0.35"/>
  <cols>
    <col min="1" max="1" width="6.81640625" customWidth="1"/>
    <col min="2" max="2" width="11.81640625" customWidth="1"/>
    <col min="3" max="3" width="11.54296875" customWidth="1"/>
    <col min="4" max="6" width="11.81640625" customWidth="1"/>
    <col min="7" max="7" width="11.453125" customWidth="1"/>
    <col min="8" max="8" width="8" bestFit="1" customWidth="1"/>
    <col min="9" max="11" width="10.54296875" style="9" customWidth="1"/>
    <col min="12" max="12" width="11.54296875" bestFit="1" customWidth="1"/>
  </cols>
  <sheetData>
    <row r="1" spans="1:11" ht="18.5" x14ac:dyDescent="0.45">
      <c r="A1" s="26" t="s">
        <v>59</v>
      </c>
      <c r="B1" s="14"/>
      <c r="G1" s="9" t="s">
        <v>38</v>
      </c>
    </row>
    <row r="2" spans="1:11" x14ac:dyDescent="0.35">
      <c r="A2" s="14"/>
      <c r="B2" s="14"/>
    </row>
    <row r="3" spans="1:11" ht="14.5" customHeight="1" x14ac:dyDescent="0.35">
      <c r="A3" s="14"/>
      <c r="B3" s="27"/>
      <c r="I3"/>
      <c r="J3"/>
      <c r="K3"/>
    </row>
    <row r="4" spans="1:11" x14ac:dyDescent="0.35">
      <c r="A4" s="14"/>
      <c r="D4" s="84" t="s">
        <v>39</v>
      </c>
      <c r="E4" s="85"/>
      <c r="F4" s="85"/>
      <c r="G4" s="86"/>
    </row>
    <row r="5" spans="1:11" s="28" customFormat="1" x14ac:dyDescent="0.35">
      <c r="A5" s="29"/>
      <c r="D5" s="30"/>
      <c r="E5" s="31"/>
      <c r="F5" s="31"/>
      <c r="G5" s="32"/>
      <c r="H5"/>
    </row>
    <row r="6" spans="1:11" s="28" customFormat="1" x14ac:dyDescent="0.35">
      <c r="A6" s="29"/>
      <c r="D6" s="33" t="s">
        <v>53</v>
      </c>
      <c r="E6" s="34"/>
      <c r="F6" s="68">
        <f>'Cost-Benefit'!E8</f>
        <v>107600</v>
      </c>
      <c r="G6" s="35"/>
      <c r="H6"/>
    </row>
    <row r="7" spans="1:11" s="28" customFormat="1" x14ac:dyDescent="0.35">
      <c r="A7" s="29"/>
      <c r="D7" s="33" t="s">
        <v>54</v>
      </c>
      <c r="E7" s="34"/>
      <c r="F7" s="68">
        <v>500000</v>
      </c>
      <c r="G7" s="36"/>
    </row>
    <row r="8" spans="1:11" s="28" customFormat="1" x14ac:dyDescent="0.35">
      <c r="A8" s="29"/>
      <c r="D8" s="37"/>
      <c r="E8" s="38"/>
      <c r="F8" s="38"/>
      <c r="G8" s="39"/>
      <c r="H8" s="41"/>
    </row>
    <row r="9" spans="1:11" s="28" customFormat="1" x14ac:dyDescent="0.35">
      <c r="A9" s="29"/>
      <c r="D9" s="42" t="s">
        <v>40</v>
      </c>
      <c r="E9" s="43"/>
      <c r="F9" s="44" t="s">
        <v>41</v>
      </c>
      <c r="G9" s="45" t="s">
        <v>42</v>
      </c>
      <c r="H9" s="41"/>
    </row>
    <row r="10" spans="1:11" s="28" customFormat="1" x14ac:dyDescent="0.35">
      <c r="A10" s="29"/>
      <c r="D10" s="46" t="s">
        <v>43</v>
      </c>
      <c r="E10" s="47"/>
      <c r="F10" s="48">
        <f>7.486941</f>
        <v>7.4869409999999998</v>
      </c>
      <c r="G10" s="49">
        <f>F10/SUM($F$10:$F$13)</f>
        <v>0.26155630687549508</v>
      </c>
      <c r="H10" s="41"/>
    </row>
    <row r="11" spans="1:11" s="28" customFormat="1" x14ac:dyDescent="0.35">
      <c r="A11" s="29"/>
      <c r="D11" s="46" t="s">
        <v>60</v>
      </c>
      <c r="E11" s="47"/>
      <c r="F11" s="48">
        <f>2.293558</f>
        <v>2.293558</v>
      </c>
      <c r="G11" s="49">
        <f>F11/SUM($F$10:$F$13)</f>
        <v>8.0125455788251393E-2</v>
      </c>
      <c r="H11" s="41"/>
    </row>
    <row r="12" spans="1:11" s="28" customFormat="1" x14ac:dyDescent="0.35">
      <c r="A12" s="29"/>
      <c r="D12" s="46" t="s">
        <v>61</v>
      </c>
      <c r="E12" s="47"/>
      <c r="F12" s="48">
        <f>'Cost-Benefit'!E13</f>
        <v>6.1848080000000003</v>
      </c>
      <c r="G12" s="49">
        <f>F12/SUM($F$10:$F$13)</f>
        <v>0.21606628651327919</v>
      </c>
      <c r="H12" s="41"/>
    </row>
    <row r="13" spans="1:11" s="28" customFormat="1" x14ac:dyDescent="0.35">
      <c r="A13" s="29"/>
      <c r="D13" s="50" t="s">
        <v>57</v>
      </c>
      <c r="E13" s="51"/>
      <c r="F13" s="52">
        <f>'Cost-Benefit'!E12</f>
        <v>12.659279</v>
      </c>
      <c r="G13" s="53">
        <f>F13/SUM($F$10:$F$13)</f>
        <v>0.4422519508229743</v>
      </c>
    </row>
    <row r="14" spans="1:11" s="28" customFormat="1" x14ac:dyDescent="0.35">
      <c r="A14" s="29"/>
      <c r="B14" s="40"/>
      <c r="C14" s="40"/>
      <c r="D14" s="40"/>
      <c r="E14" s="40"/>
      <c r="F14" s="40"/>
      <c r="G14" s="40"/>
      <c r="H14" s="41"/>
      <c r="I14" s="40"/>
      <c r="J14" s="40"/>
    </row>
    <row r="15" spans="1:11" s="28" customFormat="1" ht="15" customHeight="1" x14ac:dyDescent="0.35">
      <c r="A15" s="29"/>
      <c r="C15" s="87" t="s">
        <v>44</v>
      </c>
      <c r="D15" s="89" t="s">
        <v>45</v>
      </c>
      <c r="E15" s="90"/>
      <c r="F15" s="90"/>
      <c r="G15" s="91"/>
    </row>
    <row r="16" spans="1:11" s="28" customFormat="1" x14ac:dyDescent="0.35">
      <c r="A16" s="29" t="s">
        <v>26</v>
      </c>
      <c r="B16" s="67" t="s">
        <v>55</v>
      </c>
      <c r="C16" s="88"/>
      <c r="D16" s="54" t="s">
        <v>46</v>
      </c>
      <c r="E16" s="55" t="s">
        <v>47</v>
      </c>
      <c r="F16" s="55" t="s">
        <v>51</v>
      </c>
      <c r="G16" s="55" t="s">
        <v>48</v>
      </c>
    </row>
    <row r="17" spans="1:11" x14ac:dyDescent="0.35">
      <c r="A17">
        <v>1</v>
      </c>
      <c r="B17" s="69">
        <v>0.25</v>
      </c>
      <c r="C17" s="56">
        <f t="shared" ref="C17:C32" si="0">$F$7*($F$10+$F$11+$F$12+$F$13)/1000*B17</f>
        <v>3578.0732499999999</v>
      </c>
      <c r="D17" s="57">
        <f t="shared" ref="D17:D32" si="1">$C17*$G$10</f>
        <v>935.86762499999998</v>
      </c>
      <c r="E17" s="57">
        <f t="shared" ref="E17:E32" si="2">$C17*$G$11</f>
        <v>286.69474999999994</v>
      </c>
      <c r="F17" s="58">
        <f t="shared" ref="F17:F32" si="3">$C17*$G$12</f>
        <v>773.101</v>
      </c>
      <c r="G17" s="58">
        <f t="shared" ref="G17:G32" si="4">$C17*$G$13</f>
        <v>1582.4098749999998</v>
      </c>
      <c r="H17" s="59"/>
      <c r="I17"/>
      <c r="J17"/>
      <c r="K17"/>
    </row>
    <row r="18" spans="1:11" x14ac:dyDescent="0.35">
      <c r="A18">
        <v>2</v>
      </c>
      <c r="B18" s="69">
        <v>0.25</v>
      </c>
      <c r="C18" s="56">
        <f t="shared" si="0"/>
        <v>3578.0732499999999</v>
      </c>
      <c r="D18" s="57">
        <f t="shared" si="1"/>
        <v>935.86762499999998</v>
      </c>
      <c r="E18" s="57">
        <f t="shared" si="2"/>
        <v>286.69474999999994</v>
      </c>
      <c r="F18" s="58">
        <f t="shared" si="3"/>
        <v>773.101</v>
      </c>
      <c r="G18" s="58">
        <f t="shared" si="4"/>
        <v>1582.4098749999998</v>
      </c>
      <c r="H18" s="60"/>
      <c r="I18"/>
      <c r="J18"/>
      <c r="K18"/>
    </row>
    <row r="19" spans="1:11" x14ac:dyDescent="0.35">
      <c r="A19">
        <v>3</v>
      </c>
      <c r="B19" s="69">
        <v>0.25</v>
      </c>
      <c r="C19" s="56">
        <f t="shared" si="0"/>
        <v>3578.0732499999999</v>
      </c>
      <c r="D19" s="57">
        <f t="shared" si="1"/>
        <v>935.86762499999998</v>
      </c>
      <c r="E19" s="57">
        <f t="shared" si="2"/>
        <v>286.69474999999994</v>
      </c>
      <c r="F19" s="58">
        <f t="shared" si="3"/>
        <v>773.101</v>
      </c>
      <c r="G19" s="58">
        <f t="shared" si="4"/>
        <v>1582.4098749999998</v>
      </c>
      <c r="I19"/>
      <c r="J19"/>
      <c r="K19"/>
    </row>
    <row r="20" spans="1:11" x14ac:dyDescent="0.35">
      <c r="A20">
        <v>4</v>
      </c>
      <c r="B20" s="69">
        <v>0.25</v>
      </c>
      <c r="C20" s="56">
        <f t="shared" si="0"/>
        <v>3578.0732499999999</v>
      </c>
      <c r="D20" s="57">
        <f t="shared" si="1"/>
        <v>935.86762499999998</v>
      </c>
      <c r="E20" s="57">
        <f t="shared" si="2"/>
        <v>286.69474999999994</v>
      </c>
      <c r="F20" s="58">
        <f t="shared" si="3"/>
        <v>773.101</v>
      </c>
      <c r="G20" s="58">
        <f t="shared" si="4"/>
        <v>1582.4098749999998</v>
      </c>
      <c r="I20"/>
      <c r="J20"/>
      <c r="K20"/>
    </row>
    <row r="21" spans="1:11" x14ac:dyDescent="0.35">
      <c r="A21">
        <v>5</v>
      </c>
      <c r="B21" s="69">
        <v>0.25</v>
      </c>
      <c r="C21" s="56">
        <f t="shared" si="0"/>
        <v>3578.0732499999999</v>
      </c>
      <c r="D21" s="57">
        <f t="shared" si="1"/>
        <v>935.86762499999998</v>
      </c>
      <c r="E21" s="57">
        <f t="shared" si="2"/>
        <v>286.69474999999994</v>
      </c>
      <c r="F21" s="58">
        <f t="shared" si="3"/>
        <v>773.101</v>
      </c>
      <c r="G21" s="58">
        <f t="shared" si="4"/>
        <v>1582.4098749999998</v>
      </c>
      <c r="I21"/>
      <c r="J21"/>
      <c r="K21"/>
    </row>
    <row r="22" spans="1:11" x14ac:dyDescent="0.35">
      <c r="A22">
        <v>6</v>
      </c>
      <c r="B22" s="69">
        <v>0.5</v>
      </c>
      <c r="C22" s="56">
        <f t="shared" si="0"/>
        <v>7156.1464999999998</v>
      </c>
      <c r="D22" s="57">
        <f t="shared" si="1"/>
        <v>1871.73525</v>
      </c>
      <c r="E22" s="57">
        <f t="shared" si="2"/>
        <v>573.38949999999988</v>
      </c>
      <c r="F22" s="58">
        <f t="shared" si="3"/>
        <v>1546.202</v>
      </c>
      <c r="G22" s="58">
        <f t="shared" si="4"/>
        <v>3164.8197499999997</v>
      </c>
      <c r="I22"/>
      <c r="J22"/>
      <c r="K22"/>
    </row>
    <row r="23" spans="1:11" x14ac:dyDescent="0.35">
      <c r="A23">
        <v>7</v>
      </c>
      <c r="B23" s="69">
        <v>0.5</v>
      </c>
      <c r="C23" s="56">
        <f t="shared" si="0"/>
        <v>7156.1464999999998</v>
      </c>
      <c r="D23" s="57">
        <f t="shared" si="1"/>
        <v>1871.73525</v>
      </c>
      <c r="E23" s="57">
        <f t="shared" si="2"/>
        <v>573.38949999999988</v>
      </c>
      <c r="F23" s="58">
        <f t="shared" si="3"/>
        <v>1546.202</v>
      </c>
      <c r="G23" s="58">
        <f t="shared" si="4"/>
        <v>3164.8197499999997</v>
      </c>
      <c r="I23"/>
      <c r="J23"/>
      <c r="K23"/>
    </row>
    <row r="24" spans="1:11" x14ac:dyDescent="0.35">
      <c r="A24">
        <v>8</v>
      </c>
      <c r="B24" s="69">
        <v>0.5</v>
      </c>
      <c r="C24" s="56">
        <f t="shared" si="0"/>
        <v>7156.1464999999998</v>
      </c>
      <c r="D24" s="57">
        <f t="shared" si="1"/>
        <v>1871.73525</v>
      </c>
      <c r="E24" s="57">
        <f t="shared" si="2"/>
        <v>573.38949999999988</v>
      </c>
      <c r="F24" s="58">
        <f t="shared" si="3"/>
        <v>1546.202</v>
      </c>
      <c r="G24" s="58">
        <f t="shared" si="4"/>
        <v>3164.8197499999997</v>
      </c>
      <c r="I24"/>
      <c r="J24"/>
      <c r="K24"/>
    </row>
    <row r="25" spans="1:11" x14ac:dyDescent="0.35">
      <c r="A25">
        <v>9</v>
      </c>
      <c r="B25" s="69">
        <v>0.5</v>
      </c>
      <c r="C25" s="56">
        <f t="shared" si="0"/>
        <v>7156.1464999999998</v>
      </c>
      <c r="D25" s="57">
        <f t="shared" si="1"/>
        <v>1871.73525</v>
      </c>
      <c r="E25" s="57">
        <f t="shared" si="2"/>
        <v>573.38949999999988</v>
      </c>
      <c r="F25" s="58">
        <f t="shared" si="3"/>
        <v>1546.202</v>
      </c>
      <c r="G25" s="58">
        <f t="shared" si="4"/>
        <v>3164.8197499999997</v>
      </c>
      <c r="I25"/>
      <c r="J25"/>
      <c r="K25"/>
    </row>
    <row r="26" spans="1:11" x14ac:dyDescent="0.35">
      <c r="A26">
        <v>10</v>
      </c>
      <c r="B26" s="69">
        <v>0.5</v>
      </c>
      <c r="C26" s="56">
        <f t="shared" si="0"/>
        <v>7156.1464999999998</v>
      </c>
      <c r="D26" s="57">
        <f t="shared" si="1"/>
        <v>1871.73525</v>
      </c>
      <c r="E26" s="57">
        <f t="shared" si="2"/>
        <v>573.38949999999988</v>
      </c>
      <c r="F26" s="58">
        <f t="shared" si="3"/>
        <v>1546.202</v>
      </c>
      <c r="G26" s="58">
        <f t="shared" si="4"/>
        <v>3164.8197499999997</v>
      </c>
      <c r="I26"/>
      <c r="J26"/>
      <c r="K26"/>
    </row>
    <row r="27" spans="1:11" x14ac:dyDescent="0.35">
      <c r="A27">
        <v>11</v>
      </c>
      <c r="B27" s="69">
        <v>0.75</v>
      </c>
      <c r="C27" s="56">
        <f t="shared" si="0"/>
        <v>10734.21975</v>
      </c>
      <c r="D27" s="57">
        <f t="shared" si="1"/>
        <v>2807.602875</v>
      </c>
      <c r="E27" s="57">
        <f t="shared" si="2"/>
        <v>860.08424999999988</v>
      </c>
      <c r="F27" s="58">
        <f t="shared" si="3"/>
        <v>2319.3030000000003</v>
      </c>
      <c r="G27" s="58">
        <f t="shared" si="4"/>
        <v>4747.2296249999999</v>
      </c>
      <c r="I27"/>
      <c r="J27"/>
      <c r="K27"/>
    </row>
    <row r="28" spans="1:11" x14ac:dyDescent="0.35">
      <c r="A28">
        <v>12</v>
      </c>
      <c r="B28" s="69">
        <v>0.75</v>
      </c>
      <c r="C28" s="56">
        <f t="shared" si="0"/>
        <v>10734.21975</v>
      </c>
      <c r="D28" s="57">
        <f t="shared" si="1"/>
        <v>2807.602875</v>
      </c>
      <c r="E28" s="57">
        <f t="shared" si="2"/>
        <v>860.08424999999988</v>
      </c>
      <c r="F28" s="58">
        <f t="shared" si="3"/>
        <v>2319.3030000000003</v>
      </c>
      <c r="G28" s="58">
        <f t="shared" si="4"/>
        <v>4747.2296249999999</v>
      </c>
      <c r="I28"/>
      <c r="J28"/>
      <c r="K28"/>
    </row>
    <row r="29" spans="1:11" x14ac:dyDescent="0.35">
      <c r="A29">
        <v>13</v>
      </c>
      <c r="B29" s="69">
        <v>0.75</v>
      </c>
      <c r="C29" s="56">
        <f t="shared" si="0"/>
        <v>10734.21975</v>
      </c>
      <c r="D29" s="57">
        <f t="shared" si="1"/>
        <v>2807.602875</v>
      </c>
      <c r="E29" s="57">
        <f t="shared" si="2"/>
        <v>860.08424999999988</v>
      </c>
      <c r="F29" s="58">
        <f t="shared" si="3"/>
        <v>2319.3030000000003</v>
      </c>
      <c r="G29" s="58">
        <f t="shared" si="4"/>
        <v>4747.2296249999999</v>
      </c>
      <c r="I29"/>
      <c r="J29"/>
      <c r="K29"/>
    </row>
    <row r="30" spans="1:11" x14ac:dyDescent="0.35">
      <c r="A30">
        <v>14</v>
      </c>
      <c r="B30" s="69">
        <v>0.75</v>
      </c>
      <c r="C30" s="56">
        <f t="shared" si="0"/>
        <v>10734.21975</v>
      </c>
      <c r="D30" s="57">
        <f t="shared" si="1"/>
        <v>2807.602875</v>
      </c>
      <c r="E30" s="57">
        <f t="shared" si="2"/>
        <v>860.08424999999988</v>
      </c>
      <c r="F30" s="58">
        <f t="shared" si="3"/>
        <v>2319.3030000000003</v>
      </c>
      <c r="G30" s="58">
        <f t="shared" si="4"/>
        <v>4747.2296249999999</v>
      </c>
      <c r="I30"/>
      <c r="J30"/>
      <c r="K30"/>
    </row>
    <row r="31" spans="1:11" x14ac:dyDescent="0.35">
      <c r="A31">
        <v>15</v>
      </c>
      <c r="B31" s="69">
        <v>0.75</v>
      </c>
      <c r="C31" s="56">
        <f t="shared" si="0"/>
        <v>10734.21975</v>
      </c>
      <c r="D31" s="57">
        <f t="shared" si="1"/>
        <v>2807.602875</v>
      </c>
      <c r="E31" s="57">
        <f t="shared" si="2"/>
        <v>860.08424999999988</v>
      </c>
      <c r="F31" s="58">
        <f t="shared" si="3"/>
        <v>2319.3030000000003</v>
      </c>
      <c r="G31" s="58">
        <f t="shared" si="4"/>
        <v>4747.2296249999999</v>
      </c>
      <c r="I31"/>
      <c r="J31"/>
      <c r="K31"/>
    </row>
    <row r="32" spans="1:11" x14ac:dyDescent="0.35">
      <c r="A32" s="10" t="s">
        <v>52</v>
      </c>
      <c r="B32" s="69">
        <v>1</v>
      </c>
      <c r="C32" s="70">
        <f t="shared" si="0"/>
        <v>14312.293</v>
      </c>
      <c r="D32" s="71">
        <f t="shared" si="1"/>
        <v>3743.4704999999999</v>
      </c>
      <c r="E32" s="71">
        <f t="shared" si="2"/>
        <v>1146.7789999999998</v>
      </c>
      <c r="F32" s="72">
        <f t="shared" si="3"/>
        <v>3092.404</v>
      </c>
      <c r="G32" s="72">
        <f t="shared" si="4"/>
        <v>6329.6394999999993</v>
      </c>
      <c r="I32"/>
      <c r="J32"/>
      <c r="K32"/>
    </row>
    <row r="33" spans="1:12" x14ac:dyDescent="0.35">
      <c r="B33" s="28" t="s">
        <v>62</v>
      </c>
      <c r="C33" s="73">
        <f>SUM(C17:C32)</f>
        <v>121654.49050000003</v>
      </c>
      <c r="D33" s="73">
        <f>SUM(D17:D32)</f>
        <v>31819.499250000001</v>
      </c>
      <c r="E33" s="73">
        <f t="shared" ref="E33:G33" si="5">SUM(E17:E32)</f>
        <v>9747.6214999999993</v>
      </c>
      <c r="F33" s="73">
        <f t="shared" si="5"/>
        <v>26285.433999999997</v>
      </c>
      <c r="G33" s="73">
        <f t="shared" si="5"/>
        <v>53801.93574999999</v>
      </c>
      <c r="L33" s="3"/>
    </row>
    <row r="34" spans="1:12" x14ac:dyDescent="0.35">
      <c r="B34" s="3"/>
      <c r="C34" s="61"/>
      <c r="D34" s="61"/>
      <c r="E34" s="61"/>
      <c r="F34" s="61"/>
      <c r="G34" s="61"/>
      <c r="L34" s="3"/>
    </row>
    <row r="35" spans="1:12" x14ac:dyDescent="0.35">
      <c r="A35" t="s">
        <v>49</v>
      </c>
      <c r="C35" s="61"/>
      <c r="D35" s="61"/>
      <c r="E35" s="61"/>
      <c r="F35" s="61"/>
      <c r="G35" s="61"/>
    </row>
    <row r="36" spans="1:12" s="63" customFormat="1" x14ac:dyDescent="0.35">
      <c r="A36" t="s">
        <v>63</v>
      </c>
      <c r="I36" s="64"/>
      <c r="J36" s="64"/>
      <c r="K36" s="64"/>
    </row>
    <row r="37" spans="1:12" s="14" customFormat="1" x14ac:dyDescent="0.35">
      <c r="A37" s="62" t="s">
        <v>50</v>
      </c>
      <c r="I37" s="65"/>
      <c r="J37" s="65"/>
      <c r="K37" s="65"/>
    </row>
    <row r="38" spans="1:12" s="14" customFormat="1" x14ac:dyDescent="0.35">
      <c r="I38" s="65"/>
      <c r="J38" s="65"/>
      <c r="K38" s="65"/>
    </row>
    <row r="39" spans="1:12" s="14" customFormat="1" x14ac:dyDescent="0.35">
      <c r="A39" s="66"/>
      <c r="I39" s="65"/>
      <c r="J39" s="65"/>
      <c r="K39" s="65"/>
    </row>
    <row r="40" spans="1:12" s="14" customFormat="1" x14ac:dyDescent="0.35">
      <c r="A40" s="66"/>
      <c r="I40" s="65"/>
      <c r="J40" s="65"/>
      <c r="K40" s="65"/>
    </row>
    <row r="41" spans="1:12" s="63" customFormat="1" x14ac:dyDescent="0.35">
      <c r="I41" s="64"/>
      <c r="J41" s="64"/>
      <c r="K41" s="64"/>
    </row>
  </sheetData>
  <mergeCells count="3">
    <mergeCell ref="D4:G4"/>
    <mergeCell ref="C15:C16"/>
    <mergeCell ref="D15:G15"/>
  </mergeCells>
  <printOptions horizontalCentered="1" gridLines="1"/>
  <pageMargins left="0.2" right="0.2" top="1" bottom="1" header="0.3" footer="0.3"/>
  <pageSetup orientation="portrait" verticalDpi="597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20"/>
  <sheetViews>
    <sheetView workbookViewId="0">
      <selection activeCell="C7" sqref="C7"/>
    </sheetView>
  </sheetViews>
  <sheetFormatPr defaultRowHeight="14.5" x14ac:dyDescent="0.35"/>
  <cols>
    <col min="1" max="1" width="7.1796875" customWidth="1"/>
    <col min="2" max="4" width="11.453125" style="9" customWidth="1"/>
    <col min="8" max="8" width="13.1796875" customWidth="1"/>
  </cols>
  <sheetData>
    <row r="2" spans="1:8" ht="15.5" x14ac:dyDescent="0.35">
      <c r="A2" s="17" t="s">
        <v>25</v>
      </c>
    </row>
    <row r="4" spans="1:8" x14ac:dyDescent="0.35">
      <c r="A4" s="11" t="s">
        <v>27</v>
      </c>
      <c r="G4" s="3" t="s">
        <v>28</v>
      </c>
    </row>
    <row r="5" spans="1:8" x14ac:dyDescent="0.35">
      <c r="A5" s="21" t="s">
        <v>26</v>
      </c>
      <c r="B5" s="21" t="s">
        <v>29</v>
      </c>
      <c r="G5" s="21" t="s">
        <v>26</v>
      </c>
      <c r="H5" s="21" t="s">
        <v>29</v>
      </c>
    </row>
    <row r="6" spans="1:8" x14ac:dyDescent="0.35">
      <c r="A6" s="9">
        <v>1</v>
      </c>
      <c r="B6" s="20">
        <v>0.75</v>
      </c>
      <c r="G6" s="9">
        <v>1</v>
      </c>
      <c r="H6" s="20">
        <v>0.5</v>
      </c>
    </row>
    <row r="7" spans="1:8" x14ac:dyDescent="0.35">
      <c r="A7" s="9">
        <v>2</v>
      </c>
      <c r="B7" s="20">
        <v>0.75</v>
      </c>
      <c r="G7" s="9">
        <v>2</v>
      </c>
      <c r="H7" s="20">
        <v>0.45</v>
      </c>
    </row>
    <row r="8" spans="1:8" x14ac:dyDescent="0.35">
      <c r="A8" s="9">
        <v>3</v>
      </c>
      <c r="B8" s="20">
        <v>0.75</v>
      </c>
      <c r="G8" s="9">
        <v>3</v>
      </c>
      <c r="H8" s="20">
        <v>0.4</v>
      </c>
    </row>
    <row r="9" spans="1:8" x14ac:dyDescent="0.35">
      <c r="A9" s="9">
        <v>4</v>
      </c>
      <c r="B9" s="20">
        <v>0.75</v>
      </c>
      <c r="G9" s="9">
        <v>4</v>
      </c>
      <c r="H9" s="20">
        <v>0.35</v>
      </c>
    </row>
    <row r="10" spans="1:8" x14ac:dyDescent="0.35">
      <c r="A10" s="9">
        <v>5</v>
      </c>
      <c r="B10" s="20">
        <v>0.75</v>
      </c>
      <c r="G10" s="9">
        <v>5</v>
      </c>
      <c r="H10" s="20">
        <v>0.03</v>
      </c>
    </row>
    <row r="11" spans="1:8" x14ac:dyDescent="0.35">
      <c r="A11" s="9">
        <v>6</v>
      </c>
      <c r="B11" s="20">
        <v>0.5</v>
      </c>
      <c r="G11" s="9">
        <v>6</v>
      </c>
      <c r="H11" s="20">
        <v>0.2</v>
      </c>
    </row>
    <row r="12" spans="1:8" x14ac:dyDescent="0.35">
      <c r="A12" s="9">
        <v>7</v>
      </c>
      <c r="B12" s="20">
        <v>0.5</v>
      </c>
      <c r="G12" s="9">
        <v>7</v>
      </c>
      <c r="H12" s="20">
        <v>0.1</v>
      </c>
    </row>
    <row r="13" spans="1:8" x14ac:dyDescent="0.35">
      <c r="A13" s="9">
        <v>8</v>
      </c>
      <c r="B13" s="20">
        <v>0.5</v>
      </c>
      <c r="G13" s="9"/>
      <c r="H13" s="20"/>
    </row>
    <row r="14" spans="1:8" x14ac:dyDescent="0.35">
      <c r="A14" s="9">
        <v>9</v>
      </c>
      <c r="B14" s="20">
        <v>0.5</v>
      </c>
    </row>
    <row r="15" spans="1:8" x14ac:dyDescent="0.35">
      <c r="A15" s="9">
        <v>10</v>
      </c>
      <c r="B15" s="20">
        <v>0.5</v>
      </c>
    </row>
    <row r="16" spans="1:8" x14ac:dyDescent="0.35">
      <c r="A16" s="9">
        <v>11</v>
      </c>
      <c r="B16" s="20">
        <v>0.25</v>
      </c>
    </row>
    <row r="17" spans="1:2" x14ac:dyDescent="0.35">
      <c r="A17" s="9">
        <v>12</v>
      </c>
      <c r="B17" s="20">
        <v>0.25</v>
      </c>
    </row>
    <row r="18" spans="1:2" x14ac:dyDescent="0.35">
      <c r="A18" s="9">
        <v>13</v>
      </c>
      <c r="B18" s="20">
        <v>0.25</v>
      </c>
    </row>
    <row r="19" spans="1:2" x14ac:dyDescent="0.35">
      <c r="A19" s="9">
        <v>14</v>
      </c>
      <c r="B19" s="20">
        <v>0.25</v>
      </c>
    </row>
    <row r="20" spans="1:2" x14ac:dyDescent="0.35">
      <c r="A20" s="9">
        <v>15</v>
      </c>
      <c r="B20" s="20">
        <v>0.25</v>
      </c>
    </row>
  </sheetData>
  <pageMargins left="0.7" right="0.7" top="0.75" bottom="0.75" header="0.3" footer="0.3"/>
  <pageSetup orientation="portrait" verticalDpi="597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0"/>
  <sheetViews>
    <sheetView topLeftCell="E1" workbookViewId="0">
      <selection activeCell="E1" sqref="E1:E26"/>
    </sheetView>
  </sheetViews>
  <sheetFormatPr defaultRowHeight="14.5" x14ac:dyDescent="0.35"/>
  <cols>
    <col min="1" max="1" width="14.81640625" customWidth="1"/>
    <col min="2" max="2" width="78.1796875" bestFit="1" customWidth="1"/>
    <col min="3" max="3" width="40.26953125" bestFit="1" customWidth="1"/>
    <col min="4" max="4" width="45.7265625" bestFit="1" customWidth="1"/>
    <col min="5" max="6" width="57.453125" bestFit="1" customWidth="1"/>
    <col min="7" max="8" width="40.26953125" bestFit="1" customWidth="1"/>
    <col min="9" max="9" width="57.7265625" bestFit="1" customWidth="1"/>
    <col min="10" max="10" width="26.453125" bestFit="1" customWidth="1"/>
  </cols>
  <sheetData>
    <row r="1" spans="1:10" s="17" customFormat="1" ht="15.5" x14ac:dyDescent="0.35">
      <c r="A1" s="17" t="s">
        <v>112</v>
      </c>
      <c r="B1" s="77" t="s">
        <v>83</v>
      </c>
      <c r="C1" s="77" t="s">
        <v>84</v>
      </c>
      <c r="D1" s="77" t="s">
        <v>85</v>
      </c>
      <c r="E1" s="77" t="s">
        <v>91</v>
      </c>
      <c r="F1" s="77" t="s">
        <v>93</v>
      </c>
      <c r="G1" s="17" t="s">
        <v>94</v>
      </c>
      <c r="H1" s="17" t="s">
        <v>95</v>
      </c>
      <c r="I1" s="17" t="s">
        <v>96</v>
      </c>
      <c r="J1" s="17" t="s">
        <v>97</v>
      </c>
    </row>
    <row r="2" spans="1:10" s="17" customFormat="1" ht="15.5" x14ac:dyDescent="0.35">
      <c r="B2" s="77"/>
      <c r="C2" s="77"/>
      <c r="D2" s="77"/>
      <c r="E2" s="77"/>
      <c r="F2" s="77"/>
    </row>
    <row r="3" spans="1:10" x14ac:dyDescent="0.35">
      <c r="B3" s="78" t="s">
        <v>66</v>
      </c>
      <c r="C3" s="78" t="s">
        <v>66</v>
      </c>
      <c r="D3" s="78" t="s">
        <v>66</v>
      </c>
      <c r="E3" s="78" t="s">
        <v>66</v>
      </c>
      <c r="F3" s="78" t="s">
        <v>66</v>
      </c>
      <c r="G3" s="78" t="s">
        <v>66</v>
      </c>
      <c r="H3" s="78" t="s">
        <v>66</v>
      </c>
      <c r="I3" s="78" t="s">
        <v>66</v>
      </c>
      <c r="J3" s="78" t="s">
        <v>66</v>
      </c>
    </row>
    <row r="4" spans="1:10" x14ac:dyDescent="0.35">
      <c r="B4" t="s">
        <v>67</v>
      </c>
      <c r="C4" t="s">
        <v>67</v>
      </c>
      <c r="D4" t="s">
        <v>67</v>
      </c>
      <c r="E4" t="s">
        <v>67</v>
      </c>
      <c r="F4" t="s">
        <v>67</v>
      </c>
      <c r="G4" t="s">
        <v>67</v>
      </c>
      <c r="H4" t="s">
        <v>67</v>
      </c>
      <c r="I4" t="s">
        <v>67</v>
      </c>
      <c r="J4" t="s">
        <v>67</v>
      </c>
    </row>
    <row r="5" spans="1:10" x14ac:dyDescent="0.35">
      <c r="B5" t="s">
        <v>68</v>
      </c>
      <c r="C5" t="s">
        <v>68</v>
      </c>
      <c r="D5" t="s">
        <v>68</v>
      </c>
      <c r="E5" t="s">
        <v>68</v>
      </c>
      <c r="F5" t="s">
        <v>68</v>
      </c>
      <c r="G5" t="s">
        <v>68</v>
      </c>
      <c r="H5" t="s">
        <v>68</v>
      </c>
      <c r="I5" t="s">
        <v>68</v>
      </c>
      <c r="J5" t="s">
        <v>68</v>
      </c>
    </row>
    <row r="6" spans="1:10" x14ac:dyDescent="0.35">
      <c r="B6" t="s">
        <v>69</v>
      </c>
      <c r="C6" t="s">
        <v>69</v>
      </c>
      <c r="D6" t="s">
        <v>69</v>
      </c>
      <c r="E6" t="s">
        <v>69</v>
      </c>
      <c r="F6" t="s">
        <v>69</v>
      </c>
      <c r="G6" t="s">
        <v>69</v>
      </c>
      <c r="H6" t="s">
        <v>69</v>
      </c>
      <c r="I6" t="s">
        <v>69</v>
      </c>
      <c r="J6" t="s">
        <v>69</v>
      </c>
    </row>
    <row r="7" spans="1:10" x14ac:dyDescent="0.35">
      <c r="B7" t="s">
        <v>70</v>
      </c>
      <c r="C7" t="s">
        <v>70</v>
      </c>
      <c r="D7" t="s">
        <v>70</v>
      </c>
      <c r="E7" t="s">
        <v>70</v>
      </c>
      <c r="F7" t="s">
        <v>70</v>
      </c>
      <c r="G7" t="s">
        <v>70</v>
      </c>
      <c r="H7" t="s">
        <v>70</v>
      </c>
      <c r="I7" t="s">
        <v>70</v>
      </c>
      <c r="J7" t="s">
        <v>70</v>
      </c>
    </row>
    <row r="8" spans="1:10" x14ac:dyDescent="0.35">
      <c r="B8" t="s">
        <v>71</v>
      </c>
      <c r="C8" t="s">
        <v>71</v>
      </c>
      <c r="D8" t="s">
        <v>71</v>
      </c>
      <c r="E8" t="s">
        <v>71</v>
      </c>
      <c r="F8" t="s">
        <v>71</v>
      </c>
      <c r="G8" t="s">
        <v>71</v>
      </c>
      <c r="H8" t="s">
        <v>71</v>
      </c>
      <c r="I8" t="s">
        <v>71</v>
      </c>
      <c r="J8" t="s">
        <v>71</v>
      </c>
    </row>
    <row r="9" spans="1:10" x14ac:dyDescent="0.35">
      <c r="B9" t="s">
        <v>72</v>
      </c>
      <c r="C9" t="s">
        <v>72</v>
      </c>
      <c r="D9" t="s">
        <v>72</v>
      </c>
      <c r="E9" t="s">
        <v>72</v>
      </c>
      <c r="F9" t="s">
        <v>72</v>
      </c>
      <c r="G9" t="s">
        <v>72</v>
      </c>
      <c r="H9" t="s">
        <v>72</v>
      </c>
      <c r="I9" t="s">
        <v>72</v>
      </c>
      <c r="J9" t="s">
        <v>72</v>
      </c>
    </row>
    <row r="11" spans="1:10" s="3" customFormat="1" x14ac:dyDescent="0.35">
      <c r="B11" s="76" t="s">
        <v>77</v>
      </c>
      <c r="C11" s="76" t="s">
        <v>77</v>
      </c>
      <c r="D11" s="76" t="s">
        <v>77</v>
      </c>
      <c r="E11" s="76" t="s">
        <v>77</v>
      </c>
      <c r="F11" s="76" t="s">
        <v>77</v>
      </c>
      <c r="G11" s="76" t="s">
        <v>77</v>
      </c>
      <c r="H11" s="76" t="s">
        <v>77</v>
      </c>
      <c r="I11" s="76" t="s">
        <v>77</v>
      </c>
      <c r="J11" s="76" t="s">
        <v>77</v>
      </c>
    </row>
    <row r="12" spans="1:10" x14ac:dyDescent="0.35">
      <c r="B12" t="s">
        <v>78</v>
      </c>
      <c r="C12" t="s">
        <v>78</v>
      </c>
      <c r="D12" t="s">
        <v>89</v>
      </c>
      <c r="E12" t="s">
        <v>89</v>
      </c>
      <c r="F12" t="s">
        <v>89</v>
      </c>
      <c r="G12" t="s">
        <v>89</v>
      </c>
      <c r="H12" t="s">
        <v>89</v>
      </c>
      <c r="I12" t="s">
        <v>89</v>
      </c>
      <c r="J12" t="s">
        <v>89</v>
      </c>
    </row>
    <row r="13" spans="1:10" x14ac:dyDescent="0.35">
      <c r="B13" t="s">
        <v>79</v>
      </c>
      <c r="C13" t="s">
        <v>79</v>
      </c>
      <c r="D13" t="s">
        <v>90</v>
      </c>
      <c r="E13" t="s">
        <v>90</v>
      </c>
      <c r="F13" t="s">
        <v>90</v>
      </c>
      <c r="G13" t="s">
        <v>90</v>
      </c>
      <c r="H13" t="s">
        <v>90</v>
      </c>
      <c r="I13" t="s">
        <v>90</v>
      </c>
      <c r="J13" t="s">
        <v>90</v>
      </c>
    </row>
    <row r="14" spans="1:10" x14ac:dyDescent="0.35">
      <c r="B14" t="s">
        <v>81</v>
      </c>
      <c r="C14" t="s">
        <v>81</v>
      </c>
      <c r="D14" t="s">
        <v>81</v>
      </c>
      <c r="E14" t="s">
        <v>81</v>
      </c>
      <c r="F14" t="s">
        <v>81</v>
      </c>
      <c r="G14" t="s">
        <v>81</v>
      </c>
      <c r="H14" t="s">
        <v>81</v>
      </c>
      <c r="I14" t="s">
        <v>81</v>
      </c>
      <c r="J14" t="s">
        <v>81</v>
      </c>
    </row>
    <row r="15" spans="1:10" x14ac:dyDescent="0.35">
      <c r="B15" t="s">
        <v>82</v>
      </c>
      <c r="C15" t="s">
        <v>82</v>
      </c>
      <c r="D15" t="s">
        <v>86</v>
      </c>
      <c r="E15" t="s">
        <v>92</v>
      </c>
      <c r="F15" t="s">
        <v>92</v>
      </c>
      <c r="G15" t="s">
        <v>82</v>
      </c>
      <c r="H15" t="s">
        <v>82</v>
      </c>
      <c r="I15" t="s">
        <v>98</v>
      </c>
      <c r="J15" t="s">
        <v>99</v>
      </c>
    </row>
    <row r="16" spans="1:10" x14ac:dyDescent="0.35">
      <c r="B16" t="s">
        <v>80</v>
      </c>
      <c r="C16" t="s">
        <v>80</v>
      </c>
      <c r="D16" t="s">
        <v>87</v>
      </c>
      <c r="E16" t="s">
        <v>80</v>
      </c>
      <c r="F16" t="s">
        <v>80</v>
      </c>
      <c r="G16" t="s">
        <v>80</v>
      </c>
      <c r="H16" t="s">
        <v>80</v>
      </c>
      <c r="I16" t="s">
        <v>80</v>
      </c>
    </row>
    <row r="17" spans="2:10" x14ac:dyDescent="0.35">
      <c r="D17" t="s">
        <v>88</v>
      </c>
    </row>
    <row r="19" spans="2:10" x14ac:dyDescent="0.35">
      <c r="B19" s="76" t="s">
        <v>100</v>
      </c>
      <c r="C19" s="76" t="s">
        <v>100</v>
      </c>
      <c r="D19" s="76" t="s">
        <v>100</v>
      </c>
      <c r="E19" s="76" t="s">
        <v>100</v>
      </c>
      <c r="F19" s="76" t="s">
        <v>100</v>
      </c>
      <c r="G19" s="76" t="s">
        <v>100</v>
      </c>
      <c r="H19" s="76" t="s">
        <v>100</v>
      </c>
      <c r="I19" s="76" t="s">
        <v>100</v>
      </c>
      <c r="J19" s="76" t="s">
        <v>100</v>
      </c>
    </row>
    <row r="20" spans="2:10" x14ac:dyDescent="0.35">
      <c r="B20" t="s">
        <v>101</v>
      </c>
      <c r="C20" t="s">
        <v>101</v>
      </c>
      <c r="D20" t="s">
        <v>120</v>
      </c>
      <c r="E20" t="s">
        <v>113</v>
      </c>
      <c r="F20" t="s">
        <v>136</v>
      </c>
      <c r="G20" t="s">
        <v>101</v>
      </c>
      <c r="H20" t="s">
        <v>101</v>
      </c>
      <c r="I20" t="s">
        <v>142</v>
      </c>
      <c r="J20" t="s">
        <v>153</v>
      </c>
    </row>
    <row r="21" spans="2:10" x14ac:dyDescent="0.35">
      <c r="B21" t="s">
        <v>102</v>
      </c>
      <c r="C21" t="s">
        <v>102</v>
      </c>
      <c r="D21" t="s">
        <v>121</v>
      </c>
      <c r="E21" t="s">
        <v>114</v>
      </c>
      <c r="F21" t="s">
        <v>137</v>
      </c>
      <c r="G21" t="s">
        <v>102</v>
      </c>
      <c r="H21" t="s">
        <v>132</v>
      </c>
      <c r="I21" t="s">
        <v>143</v>
      </c>
      <c r="J21" t="s">
        <v>154</v>
      </c>
    </row>
    <row r="22" spans="2:10" x14ac:dyDescent="0.35">
      <c r="B22" t="s">
        <v>103</v>
      </c>
      <c r="C22" t="s">
        <v>103</v>
      </c>
      <c r="D22" t="s">
        <v>122</v>
      </c>
      <c r="E22" t="s">
        <v>115</v>
      </c>
      <c r="F22" t="s">
        <v>138</v>
      </c>
      <c r="G22" t="s">
        <v>103</v>
      </c>
      <c r="H22" t="s">
        <v>133</v>
      </c>
      <c r="I22" t="s">
        <v>144</v>
      </c>
      <c r="J22" t="s">
        <v>155</v>
      </c>
    </row>
    <row r="23" spans="2:10" x14ac:dyDescent="0.35">
      <c r="B23" t="s">
        <v>104</v>
      </c>
      <c r="C23" t="s">
        <v>104</v>
      </c>
      <c r="D23" t="s">
        <v>123</v>
      </c>
      <c r="E23" t="s">
        <v>116</v>
      </c>
      <c r="F23" t="s">
        <v>139</v>
      </c>
      <c r="G23" t="s">
        <v>109</v>
      </c>
      <c r="H23" t="s">
        <v>134</v>
      </c>
      <c r="I23" t="s">
        <v>145</v>
      </c>
      <c r="J23" t="s">
        <v>156</v>
      </c>
    </row>
    <row r="24" spans="2:10" x14ac:dyDescent="0.35">
      <c r="B24" t="s">
        <v>105</v>
      </c>
      <c r="C24" t="s">
        <v>105</v>
      </c>
      <c r="D24" t="s">
        <v>124</v>
      </c>
      <c r="E24" t="s">
        <v>117</v>
      </c>
      <c r="F24" t="s">
        <v>140</v>
      </c>
      <c r="G24" t="s">
        <v>110</v>
      </c>
      <c r="H24" t="s">
        <v>135</v>
      </c>
      <c r="I24" t="s">
        <v>146</v>
      </c>
      <c r="J24" t="s">
        <v>157</v>
      </c>
    </row>
    <row r="25" spans="2:10" x14ac:dyDescent="0.35">
      <c r="B25" t="s">
        <v>106</v>
      </c>
      <c r="C25" t="s">
        <v>106</v>
      </c>
      <c r="D25" t="s">
        <v>125</v>
      </c>
      <c r="E25" t="s">
        <v>118</v>
      </c>
      <c r="F25" t="s">
        <v>141</v>
      </c>
      <c r="G25" t="s">
        <v>111</v>
      </c>
      <c r="H25" t="s">
        <v>131</v>
      </c>
      <c r="I25" t="s">
        <v>147</v>
      </c>
      <c r="J25" t="s">
        <v>158</v>
      </c>
    </row>
    <row r="26" spans="2:10" x14ac:dyDescent="0.35">
      <c r="B26" t="s">
        <v>107</v>
      </c>
      <c r="C26" t="s">
        <v>107</v>
      </c>
      <c r="D26" t="s">
        <v>126</v>
      </c>
      <c r="E26" t="s">
        <v>119</v>
      </c>
      <c r="I26" t="s">
        <v>148</v>
      </c>
      <c r="J26" t="s">
        <v>159</v>
      </c>
    </row>
    <row r="27" spans="2:10" x14ac:dyDescent="0.35">
      <c r="B27" t="s">
        <v>108</v>
      </c>
      <c r="C27" t="s">
        <v>108</v>
      </c>
      <c r="D27" t="s">
        <v>127</v>
      </c>
      <c r="I27" t="s">
        <v>149</v>
      </c>
      <c r="J27" t="s">
        <v>149</v>
      </c>
    </row>
    <row r="28" spans="2:10" x14ac:dyDescent="0.35">
      <c r="D28" t="s">
        <v>128</v>
      </c>
      <c r="I28" t="s">
        <v>150</v>
      </c>
      <c r="J28" t="s">
        <v>160</v>
      </c>
    </row>
    <row r="29" spans="2:10" x14ac:dyDescent="0.35">
      <c r="D29" t="s">
        <v>129</v>
      </c>
      <c r="I29" t="s">
        <v>151</v>
      </c>
    </row>
    <row r="30" spans="2:10" x14ac:dyDescent="0.35">
      <c r="D30" t="s">
        <v>130</v>
      </c>
      <c r="I30" t="s">
        <v>152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A2" sqref="A2"/>
    </sheetView>
  </sheetViews>
  <sheetFormatPr defaultRowHeight="14.5" x14ac:dyDescent="0.35"/>
  <sheetData>
    <row r="1" spans="1:1" x14ac:dyDescent="0.35">
      <c r="A1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Cost-Benefit</vt:lpstr>
      <vt:lpstr>Allocation</vt:lpstr>
      <vt:lpstr>Exemption Schedules</vt:lpstr>
      <vt:lpstr>UPEP Criteria</vt:lpstr>
      <vt:lpstr>Sheet2</vt:lpstr>
      <vt:lpstr>Allocation!Print_Area</vt:lpstr>
      <vt:lpstr>'Cost-Benefit'!Print_Area</vt:lpstr>
      <vt:lpstr>Allocation!Print_Titles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</dc:creator>
  <cp:lastModifiedBy>Cheyenne Steria</cp:lastModifiedBy>
  <cp:lastPrinted>2022-01-27T15:41:51Z</cp:lastPrinted>
  <dcterms:created xsi:type="dcterms:W3CDTF">2017-08-16T15:52:12Z</dcterms:created>
  <dcterms:modified xsi:type="dcterms:W3CDTF">2022-10-05T01:59:24Z</dcterms:modified>
</cp:coreProperties>
</file>